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kenpo10\Downloads\"/>
    </mc:Choice>
  </mc:AlternateContent>
  <xr:revisionPtr revIDLastSave="0" documentId="13_ncr:1_{BE178C53-C183-44A9-8B68-D12901CB6FF3}" xr6:coauthVersionLast="47" xr6:coauthVersionMax="47" xr10:uidLastSave="{00000000-0000-0000-0000-000000000000}"/>
  <workbookProtection workbookAlgorithmName="SHA-512" workbookHashValue="himHDfWe/bn5RNOxOVCioHuFUmsr46+mNyp/cKkLXpagKcC/8n1tDSjF4/V2vnVqOxw3XJxNyWQ0g3Kthg9buA==" workbookSaltValue="Pknsrsppb5BzjoADI9CAUw==" workbookSpinCount="100000" lockStructure="1"/>
  <bookViews>
    <workbookView xWindow="-120" yWindow="-120" windowWidth="29040" windowHeight="15720" xr2:uid="{00000000-000D-0000-FFFF-FFFF00000000}"/>
  </bookViews>
  <sheets>
    <sheet name="健康保険料" sheetId="4" r:id="rId1"/>
    <sheet name="介護保険料" sheetId="5" r:id="rId2"/>
    <sheet name="料額表" sheetId="2" state="hidden" r:id="rId3"/>
    <sheet name="更新要領" sheetId="6" state="hidden" r:id="rId4"/>
  </sheets>
  <definedNames>
    <definedName name="_xlnm.Print_Area" localSheetId="1">介護保険料!$A$2:$M$48</definedName>
    <definedName name="_xlnm.Print_Area" localSheetId="0">健康保険料!$A$2:$M$48</definedName>
    <definedName name="_xlnm.Print_Area" localSheetId="2">料額表!$A$4:$I$54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5" l="1"/>
  <c r="C39" i="5"/>
  <c r="J39" i="5" s="1"/>
  <c r="D38" i="5"/>
  <c r="C38" i="5"/>
  <c r="J38" i="5" s="1"/>
  <c r="A37" i="5"/>
  <c r="A38" i="5" s="1"/>
  <c r="A39" i="5" s="1"/>
  <c r="A40" i="5" s="1"/>
  <c r="C37" i="5"/>
  <c r="D39" i="4"/>
  <c r="C39" i="4"/>
  <c r="J39" i="4" s="1"/>
  <c r="D38" i="4"/>
  <c r="C38" i="4"/>
  <c r="J38" i="4" s="1"/>
  <c r="D37" i="4"/>
  <c r="E38" i="5" l="1"/>
  <c r="F38" i="5"/>
  <c r="G38" i="5"/>
  <c r="H38" i="5"/>
  <c r="I38" i="5"/>
  <c r="E39" i="5"/>
  <c r="F39" i="5"/>
  <c r="G39" i="5"/>
  <c r="H39" i="5"/>
  <c r="I39" i="5"/>
  <c r="J37" i="5"/>
  <c r="H37" i="5"/>
  <c r="F37" i="5"/>
  <c r="E37" i="5"/>
  <c r="I37" i="5"/>
  <c r="G37" i="5"/>
  <c r="D37" i="5"/>
  <c r="E38" i="4"/>
  <c r="F38" i="4"/>
  <c r="G38" i="4"/>
  <c r="H38" i="4"/>
  <c r="I38" i="4"/>
  <c r="I39" i="4"/>
  <c r="E39" i="4"/>
  <c r="F39" i="4"/>
  <c r="G39" i="4"/>
  <c r="H39" i="4"/>
  <c r="C37" i="4"/>
  <c r="A43" i="5"/>
  <c r="J37" i="4" l="1"/>
  <c r="I37" i="4"/>
  <c r="H37" i="4"/>
  <c r="G37" i="4"/>
  <c r="F37" i="4"/>
  <c r="E37" i="4"/>
  <c r="A43" i="4"/>
  <c r="M6" i="5" l="1"/>
  <c r="P4" i="5" l="1"/>
  <c r="P5" i="5" s="1"/>
  <c r="L2" i="5"/>
  <c r="L2" i="4"/>
  <c r="P6" i="4"/>
  <c r="L27" i="4"/>
  <c r="L26" i="4"/>
  <c r="L24" i="4"/>
  <c r="L22" i="4"/>
  <c r="B36" i="5"/>
  <c r="B35" i="5"/>
  <c r="B34" i="5"/>
  <c r="B33" i="5"/>
  <c r="B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B36" i="4"/>
  <c r="B33" i="4"/>
  <c r="B34" i="4"/>
  <c r="B35" i="4"/>
  <c r="B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 r="K10" i="5" l="1"/>
  <c r="P6" i="5"/>
  <c r="A32" i="4"/>
  <c r="A33" i="4" s="1"/>
  <c r="A34" i="4" s="1"/>
  <c r="A35" i="4" s="1"/>
  <c r="A36" i="4" s="1"/>
  <c r="A37" i="4" s="1"/>
  <c r="A38" i="4" s="1"/>
  <c r="A39" i="4" s="1"/>
  <c r="A40" i="4" s="1"/>
  <c r="A32" i="5"/>
  <c r="A33" i="5" s="1"/>
  <c r="A34" i="5" s="1"/>
  <c r="A35" i="5" s="1"/>
  <c r="A36" i="5" s="1"/>
  <c r="R15" i="5"/>
  <c r="S15" i="5" s="1"/>
  <c r="R14" i="5"/>
  <c r="S14" i="5" s="1"/>
  <c r="R13" i="5"/>
  <c r="S13" i="5" s="1"/>
  <c r="R12" i="5"/>
  <c r="S12" i="5" s="1"/>
  <c r="R11" i="5"/>
  <c r="S11" i="5" s="1"/>
  <c r="R10" i="5"/>
  <c r="S10" i="5" s="1"/>
  <c r="R9" i="5"/>
  <c r="S9" i="5" s="1"/>
  <c r="R8" i="5"/>
  <c r="S8" i="5" s="1"/>
  <c r="R7" i="5"/>
  <c r="S7" i="5" s="1"/>
  <c r="R6" i="5"/>
  <c r="S6" i="5" s="1"/>
  <c r="R5" i="5"/>
  <c r="S5" i="5" s="1"/>
  <c r="R4" i="5"/>
  <c r="S4" i="5" s="1"/>
  <c r="R15" i="4"/>
  <c r="S15" i="4" s="1"/>
  <c r="R14" i="4"/>
  <c r="S14" i="4" s="1"/>
  <c r="R13" i="4"/>
  <c r="S13" i="4" s="1"/>
  <c r="D40"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40"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R5" i="4"/>
  <c r="S5" i="4" s="1"/>
  <c r="R6" i="4"/>
  <c r="S6" i="4" s="1"/>
  <c r="R7" i="4"/>
  <c r="S7" i="4" s="1"/>
  <c r="R8" i="4"/>
  <c r="S8" i="4" s="1"/>
  <c r="R9" i="4"/>
  <c r="S9" i="4" s="1"/>
  <c r="R10" i="4"/>
  <c r="S10" i="4" s="1"/>
  <c r="R11" i="4"/>
  <c r="S11" i="4" s="1"/>
  <c r="R12" i="4"/>
  <c r="S12" i="4" s="1"/>
  <c r="R4" i="4"/>
  <c r="S4" i="4" s="1"/>
  <c r="P4" i="4"/>
  <c r="K10" i="4" s="1"/>
  <c r="M14" i="4" l="1"/>
  <c r="M8" i="5"/>
  <c r="M14" i="5"/>
  <c r="P5" i="4"/>
  <c r="V15" i="4"/>
  <c r="T5" i="4"/>
  <c r="V14" i="4"/>
  <c r="T9" i="4"/>
  <c r="W10" i="4" s="1"/>
  <c r="V10" i="4"/>
  <c r="T8" i="4"/>
  <c r="V12" i="4"/>
  <c r="T6" i="4"/>
  <c r="V13" i="4"/>
  <c r="T7" i="4"/>
  <c r="V11" i="4"/>
  <c r="C40" i="5"/>
  <c r="J40" i="5" s="1"/>
  <c r="C36" i="5"/>
  <c r="J36" i="5" s="1"/>
  <c r="C35" i="5"/>
  <c r="J35" i="5" s="1"/>
  <c r="C34" i="5"/>
  <c r="F34" i="5" s="1"/>
  <c r="C33" i="5"/>
  <c r="J33" i="5" s="1"/>
  <c r="C32" i="5"/>
  <c r="J32" i="5" s="1"/>
  <c r="C31" i="5"/>
  <c r="J31" i="5" s="1"/>
  <c r="C30" i="5"/>
  <c r="H30" i="5" s="1"/>
  <c r="C29" i="5"/>
  <c r="J29" i="5" s="1"/>
  <c r="C28" i="5"/>
  <c r="J28" i="5" s="1"/>
  <c r="C27" i="5"/>
  <c r="J27" i="5" s="1"/>
  <c r="C26" i="5"/>
  <c r="C25" i="5"/>
  <c r="J25" i="5" s="1"/>
  <c r="C24" i="5"/>
  <c r="J24" i="5" s="1"/>
  <c r="C23" i="5"/>
  <c r="J23" i="5" s="1"/>
  <c r="C22" i="5"/>
  <c r="C21" i="5"/>
  <c r="J21" i="5" s="1"/>
  <c r="C20" i="5"/>
  <c r="J20" i="5" s="1"/>
  <c r="C19" i="5"/>
  <c r="J19" i="5" s="1"/>
  <c r="C18" i="5"/>
  <c r="C17" i="5"/>
  <c r="J17" i="5" s="1"/>
  <c r="C16" i="5"/>
  <c r="J16" i="5" s="1"/>
  <c r="C15" i="5"/>
  <c r="J15" i="5" s="1"/>
  <c r="C14" i="5"/>
  <c r="C13" i="5"/>
  <c r="J13" i="5" s="1"/>
  <c r="C12" i="5"/>
  <c r="J12" i="5" s="1"/>
  <c r="C11" i="5"/>
  <c r="J11" i="5" s="1"/>
  <c r="C10" i="5"/>
  <c r="C9" i="5"/>
  <c r="J9" i="5" s="1"/>
  <c r="C8" i="5"/>
  <c r="J8" i="5" s="1"/>
  <c r="C7" i="5"/>
  <c r="J7" i="5" s="1"/>
  <c r="C6" i="5"/>
  <c r="J6" i="5" s="1"/>
  <c r="F2" i="5"/>
  <c r="C40" i="4"/>
  <c r="C36" i="4"/>
  <c r="F2"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6" i="4"/>
  <c r="M22" i="4" l="1"/>
  <c r="T8" i="5"/>
  <c r="V10" i="5"/>
  <c r="V14" i="5"/>
  <c r="V12" i="5"/>
  <c r="T9" i="5"/>
  <c r="W10" i="5" s="1"/>
  <c r="V11" i="5"/>
  <c r="T5" i="5"/>
  <c r="T6" i="5"/>
  <c r="V15" i="5"/>
  <c r="T7" i="5"/>
  <c r="V13" i="5"/>
  <c r="H31" i="5"/>
  <c r="H35" i="5"/>
  <c r="F8" i="5"/>
  <c r="F32" i="5"/>
  <c r="F24" i="5"/>
  <c r="H33" i="5"/>
  <c r="H15" i="5"/>
  <c r="H7" i="5"/>
  <c r="H23" i="5"/>
  <c r="H11" i="5"/>
  <c r="I40" i="5"/>
  <c r="F40" i="5"/>
  <c r="G36" i="5"/>
  <c r="H14" i="5"/>
  <c r="J14" i="5"/>
  <c r="H22" i="5"/>
  <c r="J22" i="5"/>
  <c r="H34" i="5"/>
  <c r="J34" i="5"/>
  <c r="H19" i="5"/>
  <c r="F10" i="5"/>
  <c r="J10" i="5"/>
  <c r="H18" i="5"/>
  <c r="J18" i="5"/>
  <c r="H26" i="5"/>
  <c r="J26" i="5"/>
  <c r="F30" i="5"/>
  <c r="J30" i="5"/>
  <c r="F26" i="5"/>
  <c r="H10" i="5"/>
  <c r="F22" i="5"/>
  <c r="H27" i="5"/>
  <c r="H6" i="5"/>
  <c r="E31" i="4"/>
  <c r="J31" i="4"/>
  <c r="E23" i="4"/>
  <c r="J23" i="4"/>
  <c r="E15" i="4"/>
  <c r="J15" i="4"/>
  <c r="E11" i="4"/>
  <c r="J11" i="4"/>
  <c r="F30" i="4"/>
  <c r="J30" i="4"/>
  <c r="F22" i="4"/>
  <c r="J22" i="4"/>
  <c r="F14" i="4"/>
  <c r="J14" i="4"/>
  <c r="G33" i="4"/>
  <c r="J33" i="4"/>
  <c r="G29" i="4"/>
  <c r="J29" i="4"/>
  <c r="G25" i="4"/>
  <c r="J25" i="4"/>
  <c r="G21" i="4"/>
  <c r="J21" i="4"/>
  <c r="G17" i="4"/>
  <c r="J17" i="4"/>
  <c r="G13" i="4"/>
  <c r="J13" i="4"/>
  <c r="G9" i="4"/>
  <c r="J9" i="4"/>
  <c r="G36" i="4"/>
  <c r="J36" i="4"/>
  <c r="E35" i="4"/>
  <c r="J35" i="4"/>
  <c r="E27" i="4"/>
  <c r="J27" i="4"/>
  <c r="E19" i="4"/>
  <c r="J19" i="4"/>
  <c r="E7" i="4"/>
  <c r="J7" i="4"/>
  <c r="F34" i="4"/>
  <c r="J34" i="4"/>
  <c r="F26" i="4"/>
  <c r="J26" i="4"/>
  <c r="F18" i="4"/>
  <c r="J18" i="4"/>
  <c r="F10" i="4"/>
  <c r="J10" i="4"/>
  <c r="F6" i="4"/>
  <c r="J6" i="4"/>
  <c r="H32" i="4"/>
  <c r="J32" i="4"/>
  <c r="H28" i="4"/>
  <c r="J28" i="4"/>
  <c r="H24" i="4"/>
  <c r="J24" i="4"/>
  <c r="H20" i="4"/>
  <c r="J20" i="4"/>
  <c r="H16" i="4"/>
  <c r="J16" i="4"/>
  <c r="H12" i="4"/>
  <c r="J12" i="4"/>
  <c r="H8" i="4"/>
  <c r="J8" i="4"/>
  <c r="I40" i="4"/>
  <c r="J40" i="4"/>
  <c r="H23" i="4"/>
  <c r="H35" i="4"/>
  <c r="H19" i="4"/>
  <c r="H31" i="4"/>
  <c r="H15" i="4"/>
  <c r="W11" i="4"/>
  <c r="W12" i="4" s="1"/>
  <c r="W13" i="4" s="1"/>
  <c r="W14" i="4" s="1"/>
  <c r="W15" i="4" s="1"/>
  <c r="H7" i="4"/>
  <c r="H27" i="4"/>
  <c r="H11" i="4"/>
  <c r="V16" i="4"/>
  <c r="F18" i="5"/>
  <c r="F14" i="5"/>
  <c r="F6" i="5"/>
  <c r="I9" i="5"/>
  <c r="E9" i="5"/>
  <c r="G9" i="5"/>
  <c r="I13" i="5"/>
  <c r="E13" i="5"/>
  <c r="G13" i="5"/>
  <c r="I17" i="5"/>
  <c r="E17" i="5"/>
  <c r="G17" i="5"/>
  <c r="I21" i="5"/>
  <c r="E21" i="5"/>
  <c r="G21" i="5"/>
  <c r="I25" i="5"/>
  <c r="E25" i="5"/>
  <c r="G25" i="5"/>
  <c r="I29" i="5"/>
  <c r="E29" i="5"/>
  <c r="G29" i="5"/>
  <c r="G20" i="5"/>
  <c r="I20" i="5"/>
  <c r="E20" i="5"/>
  <c r="G28" i="5"/>
  <c r="I28" i="5"/>
  <c r="E28" i="5"/>
  <c r="F29" i="5"/>
  <c r="F33" i="5"/>
  <c r="H9" i="5"/>
  <c r="H13" i="5"/>
  <c r="I19" i="5"/>
  <c r="E19" i="5"/>
  <c r="G19" i="5"/>
  <c r="F20" i="5"/>
  <c r="I23" i="5"/>
  <c r="E23" i="5"/>
  <c r="G23" i="5"/>
  <c r="H25" i="5"/>
  <c r="I27" i="5"/>
  <c r="E27" i="5"/>
  <c r="G27" i="5"/>
  <c r="F28" i="5"/>
  <c r="H29" i="5"/>
  <c r="I31" i="5"/>
  <c r="E31" i="5"/>
  <c r="G31" i="5"/>
  <c r="I35" i="5"/>
  <c r="E35" i="5"/>
  <c r="G35" i="5"/>
  <c r="I33" i="5"/>
  <c r="E33" i="5"/>
  <c r="G33" i="5"/>
  <c r="G8" i="5"/>
  <c r="I8" i="5"/>
  <c r="E8" i="5"/>
  <c r="F9" i="5"/>
  <c r="G12" i="5"/>
  <c r="I12" i="5"/>
  <c r="E12" i="5"/>
  <c r="F13" i="5"/>
  <c r="G16" i="5"/>
  <c r="I16" i="5"/>
  <c r="E16" i="5"/>
  <c r="F17" i="5"/>
  <c r="F21" i="5"/>
  <c r="G24" i="5"/>
  <c r="I24" i="5"/>
  <c r="E24" i="5"/>
  <c r="F25" i="5"/>
  <c r="G32" i="5"/>
  <c r="I32" i="5"/>
  <c r="E32" i="5"/>
  <c r="I7" i="5"/>
  <c r="E7" i="5"/>
  <c r="G7" i="5"/>
  <c r="I11" i="5"/>
  <c r="E11" i="5"/>
  <c r="G11" i="5"/>
  <c r="F12" i="5"/>
  <c r="I15" i="5"/>
  <c r="E15" i="5"/>
  <c r="G15" i="5"/>
  <c r="F16" i="5"/>
  <c r="H17" i="5"/>
  <c r="H21" i="5"/>
  <c r="G6" i="5"/>
  <c r="I6" i="5"/>
  <c r="E6" i="5"/>
  <c r="F7" i="5"/>
  <c r="H8" i="5"/>
  <c r="G10" i="5"/>
  <c r="I10" i="5"/>
  <c r="E10" i="5"/>
  <c r="F11" i="5"/>
  <c r="H12" i="5"/>
  <c r="G14" i="5"/>
  <c r="I14" i="5"/>
  <c r="E14" i="5"/>
  <c r="F15" i="5"/>
  <c r="H16" i="5"/>
  <c r="G18" i="5"/>
  <c r="I18" i="5"/>
  <c r="E18" i="5"/>
  <c r="F19" i="5"/>
  <c r="H20" i="5"/>
  <c r="G22" i="5"/>
  <c r="I22" i="5"/>
  <c r="E22" i="5"/>
  <c r="F23" i="5"/>
  <c r="H24" i="5"/>
  <c r="G26" i="5"/>
  <c r="I26" i="5"/>
  <c r="E26" i="5"/>
  <c r="F27" i="5"/>
  <c r="H28" i="5"/>
  <c r="G30" i="5"/>
  <c r="I30" i="5"/>
  <c r="E30" i="5"/>
  <c r="F31" i="5"/>
  <c r="H32" i="5"/>
  <c r="G34" i="5"/>
  <c r="I34" i="5"/>
  <c r="E34" i="5"/>
  <c r="F35" i="5"/>
  <c r="H36" i="5"/>
  <c r="E36" i="5"/>
  <c r="I36" i="5"/>
  <c r="G40" i="5"/>
  <c r="F36" i="5"/>
  <c r="H40" i="5"/>
  <c r="E40" i="5"/>
  <c r="I34" i="4"/>
  <c r="I30" i="4"/>
  <c r="I26" i="4"/>
  <c r="I22" i="4"/>
  <c r="I18" i="4"/>
  <c r="I14" i="4"/>
  <c r="I10" i="4"/>
  <c r="E34" i="4"/>
  <c r="E30" i="4"/>
  <c r="E26" i="4"/>
  <c r="E22" i="4"/>
  <c r="E18" i="4"/>
  <c r="E14" i="4"/>
  <c r="E10" i="4"/>
  <c r="F33" i="4"/>
  <c r="F29" i="4"/>
  <c r="F25" i="4"/>
  <c r="F21" i="4"/>
  <c r="F17" i="4"/>
  <c r="F13" i="4"/>
  <c r="F9" i="4"/>
  <c r="H36" i="4"/>
  <c r="F40" i="4"/>
  <c r="E36" i="4"/>
  <c r="I36" i="4"/>
  <c r="G40" i="4"/>
  <c r="H40" i="4"/>
  <c r="F36" i="4"/>
  <c r="E40" i="4"/>
  <c r="G16" i="4"/>
  <c r="H6" i="4"/>
  <c r="G35" i="4"/>
  <c r="H34" i="4"/>
  <c r="I33" i="4"/>
  <c r="E33" i="4"/>
  <c r="F32" i="4"/>
  <c r="G31" i="4"/>
  <c r="H30" i="4"/>
  <c r="I29" i="4"/>
  <c r="E29" i="4"/>
  <c r="F28" i="4"/>
  <c r="G27" i="4"/>
  <c r="H26" i="4"/>
  <c r="I25" i="4"/>
  <c r="E25" i="4"/>
  <c r="F24" i="4"/>
  <c r="G23" i="4"/>
  <c r="H22" i="4"/>
  <c r="I21" i="4"/>
  <c r="E21" i="4"/>
  <c r="F20" i="4"/>
  <c r="G19" i="4"/>
  <c r="H18" i="4"/>
  <c r="I17" i="4"/>
  <c r="E17" i="4"/>
  <c r="F16" i="4"/>
  <c r="G15" i="4"/>
  <c r="H14" i="4"/>
  <c r="I13" i="4"/>
  <c r="E13" i="4"/>
  <c r="F12" i="4"/>
  <c r="G11" i="4"/>
  <c r="H10" i="4"/>
  <c r="I9" i="4"/>
  <c r="E9" i="4"/>
  <c r="F8" i="4"/>
  <c r="G7" i="4"/>
  <c r="G24" i="4"/>
  <c r="G20" i="4"/>
  <c r="G12" i="4"/>
  <c r="G8" i="4"/>
  <c r="E6" i="4"/>
  <c r="I6" i="4"/>
  <c r="F35" i="4"/>
  <c r="G34" i="4"/>
  <c r="H33" i="4"/>
  <c r="I32" i="4"/>
  <c r="E32" i="4"/>
  <c r="F31" i="4"/>
  <c r="G30" i="4"/>
  <c r="H29" i="4"/>
  <c r="I28" i="4"/>
  <c r="E28" i="4"/>
  <c r="F27" i="4"/>
  <c r="G26" i="4"/>
  <c r="H25" i="4"/>
  <c r="I24" i="4"/>
  <c r="E24" i="4"/>
  <c r="F23" i="4"/>
  <c r="G22" i="4"/>
  <c r="H21" i="4"/>
  <c r="I20" i="4"/>
  <c r="E20" i="4"/>
  <c r="F19" i="4"/>
  <c r="G18" i="4"/>
  <c r="H17" i="4"/>
  <c r="I16" i="4"/>
  <c r="E16" i="4"/>
  <c r="F15" i="4"/>
  <c r="G14" i="4"/>
  <c r="H13" i="4"/>
  <c r="I12" i="4"/>
  <c r="E12" i="4"/>
  <c r="F11" i="4"/>
  <c r="G10" i="4"/>
  <c r="H9" i="4"/>
  <c r="I8" i="4"/>
  <c r="E8" i="4"/>
  <c r="F7" i="4"/>
  <c r="G6" i="4"/>
  <c r="G32" i="4"/>
  <c r="G28" i="4"/>
  <c r="I35" i="4"/>
  <c r="I31" i="4"/>
  <c r="I27" i="4"/>
  <c r="I23" i="4"/>
  <c r="I19" i="4"/>
  <c r="I15" i="4"/>
  <c r="I11" i="4"/>
  <c r="I7" i="4"/>
  <c r="W11" i="5" l="1"/>
  <c r="W12" i="5" s="1"/>
  <c r="W13" i="5" s="1"/>
  <c r="W14" i="5" s="1"/>
  <c r="W15" i="5" s="1"/>
  <c r="W16" i="5" s="1"/>
  <c r="V16" i="5"/>
  <c r="W16" i="4"/>
  <c r="W18" i="5" l="1"/>
  <c r="W17" i="5"/>
  <c r="W17" i="4"/>
  <c r="W18" i="4"/>
  <c r="L2" i="2"/>
  <c r="M2" i="2" s="1"/>
  <c r="L1" i="2"/>
  <c r="M1" i="2" s="1"/>
  <c r="T4" i="4" l="1"/>
  <c r="T4" i="5"/>
  <c r="U5" i="4" l="1"/>
  <c r="T16" i="4"/>
  <c r="L15" i="4" s="1"/>
  <c r="L23" i="4" s="1"/>
  <c r="U5" i="5"/>
  <c r="T16" i="5"/>
  <c r="L15" i="5" s="1"/>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U6" i="4" l="1"/>
  <c r="U7" i="4" s="1"/>
  <c r="U8" i="4" s="1"/>
  <c r="U9" i="4" s="1"/>
  <c r="U6" i="5"/>
  <c r="U7" i="5" s="1"/>
  <c r="U8" i="5" s="1"/>
  <c r="U9" i="5" s="1"/>
  <c r="U16" i="5" l="1"/>
  <c r="U16" i="4"/>
  <c r="M16" i="4" l="1"/>
  <c r="U17" i="4"/>
  <c r="U18" i="4"/>
  <c r="U18" i="5"/>
  <c r="U17" i="5"/>
  <c r="M16" i="5"/>
  <c r="M18" i="5" s="1"/>
  <c r="M24" i="4" l="1"/>
  <c r="M26" i="4" s="1"/>
  <c r="M18" i="4"/>
  <c r="L17" i="4"/>
  <c r="L25" i="4" s="1"/>
  <c r="L17" i="5"/>
</calcChain>
</file>

<file path=xl/sharedStrings.xml><?xml version="1.0" encoding="utf-8"?>
<sst xmlns="http://schemas.openxmlformats.org/spreadsheetml/2006/main" count="131" uniqueCount="78">
  <si>
    <t>事業主</t>
  </si>
  <si>
    <t>被保険者</t>
    <rPh sb="0" eb="4">
      <t>ヒホケンシャ</t>
    </rPh>
    <phoneticPr fontId="2"/>
  </si>
  <si>
    <t>合計</t>
    <rPh sb="0" eb="1">
      <t>ゴウ</t>
    </rPh>
    <rPh sb="1" eb="2">
      <t>ケイ</t>
    </rPh>
    <phoneticPr fontId="2"/>
  </si>
  <si>
    <t>年度　保険料額表</t>
    <rPh sb="0" eb="2">
      <t>ネンド</t>
    </rPh>
    <rPh sb="3" eb="6">
      <t>ホケンリョウ</t>
    </rPh>
    <rPh sb="6" eb="7">
      <t>ガク</t>
    </rPh>
    <rPh sb="7" eb="8">
      <t>ヒョウ</t>
    </rPh>
    <phoneticPr fontId="2"/>
  </si>
  <si>
    <t>令和</t>
    <rPh sb="0" eb="2">
      <t>レイワ</t>
    </rPh>
    <phoneticPr fontId="2"/>
  </si>
  <si>
    <t>等級</t>
    <rPh sb="0" eb="2">
      <t>トウキュウ</t>
    </rPh>
    <phoneticPr fontId="2"/>
  </si>
  <si>
    <t>標準報酬月額</t>
    <rPh sb="0" eb="2">
      <t>ヒョウジュン</t>
    </rPh>
    <rPh sb="2" eb="6">
      <t>ホウシュウゲツガク</t>
    </rPh>
    <phoneticPr fontId="2"/>
  </si>
  <si>
    <t>本人</t>
    <rPh sb="0" eb="2">
      <t>ホンニン</t>
    </rPh>
    <phoneticPr fontId="2"/>
  </si>
  <si>
    <t>事業主</t>
    <rPh sb="0" eb="3">
      <t>ジギョウヌシ</t>
    </rPh>
    <phoneticPr fontId="2"/>
  </si>
  <si>
    <t>合計</t>
    <rPh sb="0" eb="2">
      <t>ゴウケイ</t>
    </rPh>
    <phoneticPr fontId="2"/>
  </si>
  <si>
    <t>健康保険料</t>
    <rPh sb="0" eb="5">
      <t>ケンコウホケンリョウ</t>
    </rPh>
    <phoneticPr fontId="2"/>
  </si>
  <si>
    <t>介護保険料</t>
    <rPh sb="0" eb="2">
      <t>カイゴ</t>
    </rPh>
    <rPh sb="2" eb="5">
      <t>ホケンリョウ</t>
    </rPh>
    <phoneticPr fontId="2"/>
  </si>
  <si>
    <t>標準報酬
月額（再掲）</t>
    <rPh sb="0" eb="2">
      <t>ヒョウジュン</t>
    </rPh>
    <rPh sb="2" eb="4">
      <t>ホウシュウ</t>
    </rPh>
    <rPh sb="5" eb="7">
      <t>ゲツガク</t>
    </rPh>
    <rPh sb="8" eb="10">
      <t>サイケイ</t>
    </rPh>
    <phoneticPr fontId="2"/>
  </si>
  <si>
    <t>任意継続標準報酬上限</t>
    <rPh sb="0" eb="2">
      <t>ニンイ</t>
    </rPh>
    <rPh sb="2" eb="4">
      <t>ケイゾク</t>
    </rPh>
    <rPh sb="4" eb="6">
      <t>ヒョウジュン</t>
    </rPh>
    <rPh sb="6" eb="8">
      <t>ホウシュウ</t>
    </rPh>
    <rPh sb="8" eb="10">
      <t>ジョウゲン</t>
    </rPh>
    <phoneticPr fontId="2"/>
  </si>
  <si>
    <t>円</t>
    <rPh sb="0" eb="1">
      <t>エン</t>
    </rPh>
    <phoneticPr fontId="2"/>
  </si>
  <si>
    <t>4月</t>
    <rPh sb="1" eb="2">
      <t>ガツ</t>
    </rPh>
    <phoneticPr fontId="4"/>
  </si>
  <si>
    <t>5月</t>
  </si>
  <si>
    <t>6月</t>
  </si>
  <si>
    <t>7月</t>
  </si>
  <si>
    <t>8月</t>
  </si>
  <si>
    <t>9月</t>
  </si>
  <si>
    <t>10月</t>
  </si>
  <si>
    <t>11月</t>
  </si>
  <si>
    <t>12月</t>
  </si>
  <si>
    <t>1月</t>
  </si>
  <si>
    <t>2月</t>
  </si>
  <si>
    <t>3月</t>
  </si>
  <si>
    <t>標準報酬</t>
    <rPh sb="0" eb="2">
      <t>ヒョウジュン</t>
    </rPh>
    <rPh sb="2" eb="4">
      <t>ホウシュウ</t>
    </rPh>
    <phoneticPr fontId="4"/>
  </si>
  <si>
    <t>＜健康保険料＞</t>
    <rPh sb="1" eb="3">
      <t>ケンコウ</t>
    </rPh>
    <rPh sb="3" eb="6">
      <t>ホケンリョウ</t>
    </rPh>
    <phoneticPr fontId="4"/>
  </si>
  <si>
    <t>等級</t>
    <rPh sb="0" eb="2">
      <t>トウキュウ</t>
    </rPh>
    <phoneticPr fontId="4"/>
  </si>
  <si>
    <t>初月分</t>
    <rPh sb="0" eb="2">
      <t>ショゲツ</t>
    </rPh>
    <rPh sb="2" eb="3">
      <t>ブン</t>
    </rPh>
    <phoneticPr fontId="4"/>
  </si>
  <si>
    <t>月額</t>
    <rPh sb="0" eb="2">
      <t>ゲツガク</t>
    </rPh>
    <phoneticPr fontId="4"/>
  </si>
  <si>
    <t>任意継続保険料早見表</t>
    <rPh sb="0" eb="2">
      <t>ニンイ</t>
    </rPh>
    <rPh sb="2" eb="4">
      <t>ケイゾク</t>
    </rPh>
    <rPh sb="4" eb="7">
      <t>ホケンリョウ</t>
    </rPh>
    <rPh sb="7" eb="10">
      <t>ハヤミヒョウ</t>
    </rPh>
    <phoneticPr fontId="4"/>
  </si>
  <si>
    <t>＜介護保険料＞</t>
    <rPh sb="1" eb="3">
      <t>カイゴ</t>
    </rPh>
    <rPh sb="3" eb="6">
      <t>ホケンリョウ</t>
    </rPh>
    <phoneticPr fontId="4"/>
  </si>
  <si>
    <t>退職年月日</t>
    <rPh sb="0" eb="2">
      <t>タイショク</t>
    </rPh>
    <rPh sb="2" eb="5">
      <t>ネンガッピ</t>
    </rPh>
    <phoneticPr fontId="4"/>
  </si>
  <si>
    <t>初月分</t>
    <rPh sb="0" eb="2">
      <t>ショゲツ</t>
    </rPh>
    <rPh sb="2" eb="3">
      <t>ブン</t>
    </rPh>
    <phoneticPr fontId="4"/>
  </si>
  <si>
    <t>上期初回</t>
    <rPh sb="0" eb="2">
      <t>カミキ</t>
    </rPh>
    <rPh sb="2" eb="4">
      <t>ショカイ</t>
    </rPh>
    <phoneticPr fontId="4"/>
  </si>
  <si>
    <t>上期前納</t>
    <rPh sb="0" eb="2">
      <t>カミキ</t>
    </rPh>
    <rPh sb="2" eb="4">
      <t>ゼンノウ</t>
    </rPh>
    <phoneticPr fontId="4"/>
  </si>
  <si>
    <t>下期初回</t>
    <rPh sb="0" eb="2">
      <t>シモキ</t>
    </rPh>
    <rPh sb="2" eb="4">
      <t>ショカイ</t>
    </rPh>
    <phoneticPr fontId="4"/>
  </si>
  <si>
    <t>下期前納</t>
    <rPh sb="0" eb="2">
      <t>シモキ</t>
    </rPh>
    <rPh sb="2" eb="4">
      <t>ゼンノウ</t>
    </rPh>
    <phoneticPr fontId="4"/>
  </si>
  <si>
    <t>前納分</t>
    <rPh sb="0" eb="2">
      <t>ゼンノウ</t>
    </rPh>
    <rPh sb="2" eb="3">
      <t>ブン</t>
    </rPh>
    <phoneticPr fontId="4"/>
  </si>
  <si>
    <t>合計</t>
    <rPh sb="0" eb="2">
      <t>ゴウケイ</t>
    </rPh>
    <phoneticPr fontId="4"/>
  </si>
  <si>
    <t>退職年月日
(yyyy/m/d)</t>
    <rPh sb="0" eb="2">
      <t>タイショク</t>
    </rPh>
    <rPh sb="2" eb="5">
      <t>ネンガッピ</t>
    </rPh>
    <phoneticPr fontId="4"/>
  </si>
  <si>
    <t>＜介護保険料試算＞</t>
    <rPh sb="1" eb="3">
      <t>カイゴ</t>
    </rPh>
    <rPh sb="3" eb="6">
      <t>ホケンリョウ</t>
    </rPh>
    <rPh sb="6" eb="8">
      <t>シサン</t>
    </rPh>
    <phoneticPr fontId="4"/>
  </si>
  <si>
    <t>＊任意継続被保険者の標準報酬月額は、退職前のご自身の標準報酬月額と、当組合の全ての</t>
    <rPh sb="1" eb="3">
      <t>ニンイ</t>
    </rPh>
    <rPh sb="3" eb="5">
      <t>ケイゾク</t>
    </rPh>
    <rPh sb="5" eb="9">
      <t>ヒホケンシャ</t>
    </rPh>
    <rPh sb="10" eb="14">
      <t>ヒョウジュンホウシュウ</t>
    </rPh>
    <rPh sb="14" eb="16">
      <t>ゲツガク</t>
    </rPh>
    <rPh sb="18" eb="20">
      <t>タイショク</t>
    </rPh>
    <rPh sb="20" eb="21">
      <t>マエ</t>
    </rPh>
    <rPh sb="23" eb="25">
      <t>ジシン</t>
    </rPh>
    <rPh sb="26" eb="28">
      <t>ヒョウジュン</t>
    </rPh>
    <rPh sb="28" eb="30">
      <t>ホウシュウ</t>
    </rPh>
    <rPh sb="30" eb="32">
      <t>ゲツガク</t>
    </rPh>
    <rPh sb="34" eb="35">
      <t>トウ</t>
    </rPh>
    <rPh sb="35" eb="37">
      <t>クミアイ</t>
    </rPh>
    <rPh sb="38" eb="39">
      <t>スベ</t>
    </rPh>
    <phoneticPr fontId="4"/>
  </si>
  <si>
    <t>＜ご注意＞
介護保険料はご自身または配偶者が40歳以上65歳未満の場合に徴収します。
上記の試算は前納期間を通じ介護保険料を徴収すると仮定しており、期間の途中で徴収が始まり、または終了する場合はこの試算の通りの金額とはなりません。</t>
    <rPh sb="2" eb="4">
      <t>チュウイ</t>
    </rPh>
    <rPh sb="6" eb="8">
      <t>カイゴ</t>
    </rPh>
    <rPh sb="8" eb="11">
      <t>ホケンリョウ</t>
    </rPh>
    <rPh sb="13" eb="15">
      <t>ジシン</t>
    </rPh>
    <rPh sb="18" eb="21">
      <t>ハイグウシャ</t>
    </rPh>
    <rPh sb="24" eb="25">
      <t>サイ</t>
    </rPh>
    <rPh sb="25" eb="27">
      <t>イジョウ</t>
    </rPh>
    <rPh sb="29" eb="30">
      <t>サイ</t>
    </rPh>
    <rPh sb="30" eb="32">
      <t>ミマン</t>
    </rPh>
    <rPh sb="33" eb="35">
      <t>バアイ</t>
    </rPh>
    <rPh sb="36" eb="38">
      <t>チョウシュウ</t>
    </rPh>
    <rPh sb="43" eb="45">
      <t>ジョウキ</t>
    </rPh>
    <rPh sb="46" eb="48">
      <t>シサン</t>
    </rPh>
    <rPh sb="49" eb="51">
      <t>ゼンノウ</t>
    </rPh>
    <rPh sb="51" eb="53">
      <t>キカン</t>
    </rPh>
    <rPh sb="54" eb="55">
      <t>ツウ</t>
    </rPh>
    <rPh sb="56" eb="58">
      <t>カイゴ</t>
    </rPh>
    <rPh sb="58" eb="61">
      <t>ホケンリョウ</t>
    </rPh>
    <rPh sb="62" eb="64">
      <t>チョウシュウ</t>
    </rPh>
    <rPh sb="67" eb="69">
      <t>カテイ</t>
    </rPh>
    <rPh sb="74" eb="76">
      <t>キカン</t>
    </rPh>
    <rPh sb="77" eb="79">
      <t>トチュウ</t>
    </rPh>
    <rPh sb="80" eb="82">
      <t>チョウシュウ</t>
    </rPh>
    <rPh sb="83" eb="84">
      <t>ハジ</t>
    </rPh>
    <rPh sb="90" eb="92">
      <t>シュウリョウ</t>
    </rPh>
    <rPh sb="94" eb="96">
      <t>バアイ</t>
    </rPh>
    <rPh sb="99" eb="101">
      <t>シサン</t>
    </rPh>
    <rPh sb="102" eb="103">
      <t>トオ</t>
    </rPh>
    <rPh sb="105" eb="107">
      <t>キンガク</t>
    </rPh>
    <phoneticPr fontId="4"/>
  </si>
  <si>
    <t>退職時
健康保険料(*)</t>
    <rPh sb="0" eb="3">
      <t>タイショクジ</t>
    </rPh>
    <rPh sb="4" eb="6">
      <t>ケンコウ</t>
    </rPh>
    <rPh sb="6" eb="9">
      <t>ホケンリョウ</t>
    </rPh>
    <phoneticPr fontId="4"/>
  </si>
  <si>
    <t>＜初回納付保険料の試算＞</t>
    <rPh sb="1" eb="3">
      <t>ショカイ</t>
    </rPh>
    <rPh sb="3" eb="5">
      <t>ノウフ</t>
    </rPh>
    <rPh sb="5" eb="8">
      <t>ホケンリョウ</t>
    </rPh>
    <rPh sb="9" eb="11">
      <t>シサン</t>
    </rPh>
    <phoneticPr fontId="4"/>
  </si>
  <si>
    <t>&lt;介護保険料との合算額＞</t>
    <rPh sb="1" eb="3">
      <t>カイゴ</t>
    </rPh>
    <rPh sb="3" eb="5">
      <t>ホケン</t>
    </rPh>
    <rPh sb="5" eb="6">
      <t>リョウ</t>
    </rPh>
    <rPh sb="8" eb="10">
      <t>ガッサン</t>
    </rPh>
    <rPh sb="10" eb="11">
      <t>ガク</t>
    </rPh>
    <phoneticPr fontId="4"/>
  </si>
  <si>
    <t>＜健康保険料のみの場合＞</t>
    <rPh sb="1" eb="5">
      <t>ケンコウホケン</t>
    </rPh>
    <rPh sb="5" eb="6">
      <t>リョウ</t>
    </rPh>
    <rPh sb="9" eb="11">
      <t>バアイ</t>
    </rPh>
    <phoneticPr fontId="4"/>
  </si>
  <si>
    <t>退職時
介護保険料</t>
    <rPh sb="0" eb="3">
      <t>タイショクジ</t>
    </rPh>
    <rPh sb="4" eb="6">
      <t>カイゴ</t>
    </rPh>
    <rPh sb="6" eb="9">
      <t>ホケンリョウ</t>
    </rPh>
    <phoneticPr fontId="4"/>
  </si>
  <si>
    <t>（クリーム色箇所に入力下さい）</t>
    <rPh sb="5" eb="6">
      <t>イロ</t>
    </rPh>
    <rPh sb="6" eb="8">
      <t>カショ</t>
    </rPh>
    <rPh sb="9" eb="11">
      <t>ニュウリョク</t>
    </rPh>
    <rPh sb="11" eb="12">
      <t>クダ</t>
    </rPh>
    <phoneticPr fontId="4"/>
  </si>
  <si>
    <t>（参考＝健康保険と同条件で自動表示）</t>
    <rPh sb="1" eb="3">
      <t>サンコウ</t>
    </rPh>
    <rPh sb="4" eb="6">
      <t>ケンコウ</t>
    </rPh>
    <rPh sb="6" eb="8">
      <t>ホケン</t>
    </rPh>
    <rPh sb="9" eb="10">
      <t>ドウ</t>
    </rPh>
    <rPh sb="10" eb="12">
      <t>ジョウケン</t>
    </rPh>
    <rPh sb="13" eb="15">
      <t>ジドウ</t>
    </rPh>
    <rPh sb="15" eb="17">
      <t>ヒョウジ</t>
    </rPh>
    <phoneticPr fontId="4"/>
  </si>
  <si>
    <t>年度更新時のファイル作成要領</t>
    <rPh sb="0" eb="2">
      <t>ネンド</t>
    </rPh>
    <rPh sb="2" eb="4">
      <t>コウシン</t>
    </rPh>
    <rPh sb="4" eb="5">
      <t>ジ</t>
    </rPh>
    <rPh sb="10" eb="12">
      <t>サクセイ</t>
    </rPh>
    <rPh sb="12" eb="14">
      <t>ヨウリョウ</t>
    </rPh>
    <phoneticPr fontId="2"/>
  </si>
  <si>
    <t>①</t>
    <phoneticPr fontId="2"/>
  </si>
  <si>
    <t>料額表シートを更新する。保険料が改定されたときは等級ごとの保険料額を修正し、</t>
    <rPh sb="0" eb="2">
      <t>リョウガク</t>
    </rPh>
    <rPh sb="2" eb="3">
      <t>ヒョウ</t>
    </rPh>
    <rPh sb="7" eb="9">
      <t>コウシン</t>
    </rPh>
    <rPh sb="12" eb="15">
      <t>ホケンリョウ</t>
    </rPh>
    <rPh sb="16" eb="18">
      <t>カイテイ</t>
    </rPh>
    <rPh sb="24" eb="26">
      <t>トウキュウ</t>
    </rPh>
    <rPh sb="29" eb="33">
      <t>ホケンリョウガク</t>
    </rPh>
    <rPh sb="34" eb="36">
      <t>シュウセイ</t>
    </rPh>
    <phoneticPr fontId="2"/>
  </si>
  <si>
    <t>年度と標準報酬上限額を修正する（全てクリーム色のセル）。</t>
    <rPh sb="0" eb="2">
      <t>ネンド</t>
    </rPh>
    <rPh sb="3" eb="5">
      <t>ヒョウジュン</t>
    </rPh>
    <rPh sb="5" eb="7">
      <t>ホウシュウ</t>
    </rPh>
    <rPh sb="7" eb="9">
      <t>ジョウゲン</t>
    </rPh>
    <rPh sb="9" eb="10">
      <t>ガク</t>
    </rPh>
    <rPh sb="11" eb="13">
      <t>シュウセイ</t>
    </rPh>
    <rPh sb="16" eb="17">
      <t>スベ</t>
    </rPh>
    <rPh sb="22" eb="23">
      <t>イロ</t>
    </rPh>
    <phoneticPr fontId="2"/>
  </si>
  <si>
    <t>②</t>
    <phoneticPr fontId="2"/>
  </si>
  <si>
    <t>「健康保険料」・「介護保険料」両シートの動作が正常であることを確認し、ピンクの</t>
    <rPh sb="1" eb="3">
      <t>ケンコウ</t>
    </rPh>
    <rPh sb="3" eb="5">
      <t>ホケン</t>
    </rPh>
    <rPh sb="5" eb="6">
      <t>リョウ</t>
    </rPh>
    <rPh sb="9" eb="11">
      <t>カイゴ</t>
    </rPh>
    <rPh sb="11" eb="13">
      <t>ホケン</t>
    </rPh>
    <rPh sb="13" eb="14">
      <t>リョウ</t>
    </rPh>
    <rPh sb="15" eb="16">
      <t>リョウ</t>
    </rPh>
    <rPh sb="20" eb="22">
      <t>ドウサ</t>
    </rPh>
    <rPh sb="23" eb="25">
      <t>セイジョウ</t>
    </rPh>
    <rPh sb="31" eb="33">
      <t>カクニン</t>
    </rPh>
    <phoneticPr fontId="2"/>
  </si>
  <si>
    <t>セル（ロジック登録部分）を行・列ごと非表示にする。</t>
    <rPh sb="7" eb="9">
      <t>トウロク</t>
    </rPh>
    <rPh sb="9" eb="11">
      <t>ブブン</t>
    </rPh>
    <rPh sb="13" eb="14">
      <t>ギョウ</t>
    </rPh>
    <rPh sb="15" eb="16">
      <t>レツ</t>
    </rPh>
    <rPh sb="18" eb="21">
      <t>ヒヒョウジ</t>
    </rPh>
    <phoneticPr fontId="2"/>
  </si>
  <si>
    <t>③</t>
    <phoneticPr fontId="2"/>
  </si>
  <si>
    <t>「料額表」シートと、この「更新要領」シートを非表示にする。</t>
    <rPh sb="1" eb="3">
      <t>リョウガク</t>
    </rPh>
    <rPh sb="3" eb="4">
      <t>ヒョウ</t>
    </rPh>
    <rPh sb="13" eb="15">
      <t>コウシン</t>
    </rPh>
    <rPh sb="15" eb="17">
      <t>ヨウリョウ</t>
    </rPh>
    <rPh sb="22" eb="25">
      <t>ヒヒョウジ</t>
    </rPh>
    <phoneticPr fontId="2"/>
  </si>
  <si>
    <t>④</t>
    <phoneticPr fontId="2"/>
  </si>
  <si>
    <t>「健康保険料」・「介護保険料」両シートについて、メニューの「校閲」→「シートの保護」</t>
    <rPh sb="1" eb="6">
      <t>ケンコウホケンリョウ</t>
    </rPh>
    <rPh sb="9" eb="11">
      <t>カイゴ</t>
    </rPh>
    <rPh sb="11" eb="14">
      <t>ホケンリョウ</t>
    </rPh>
    <rPh sb="15" eb="16">
      <t>リョウ</t>
    </rPh>
    <rPh sb="30" eb="32">
      <t>コウエツ</t>
    </rPh>
    <rPh sb="39" eb="41">
      <t>ホゴ</t>
    </rPh>
    <phoneticPr fontId="2"/>
  </si>
  <si>
    <t>⑤</t>
    <phoneticPr fontId="2"/>
  </si>
  <si>
    <t>を実行する。パスワードは06138101 にする。</t>
    <rPh sb="1" eb="3">
      <t>ジッコウ</t>
    </rPh>
    <phoneticPr fontId="2"/>
  </si>
  <si>
    <t>本ファイルのコピーを作成し、「Rx_任意継続保険料早見表」のように名前を変更する。</t>
    <rPh sb="0" eb="1">
      <t>ホン</t>
    </rPh>
    <rPh sb="10" eb="12">
      <t>サクセイ</t>
    </rPh>
    <rPh sb="18" eb="20">
      <t>ニンイ</t>
    </rPh>
    <rPh sb="20" eb="22">
      <t>ケイゾク</t>
    </rPh>
    <rPh sb="22" eb="25">
      <t>ホケンリョウ</t>
    </rPh>
    <rPh sb="25" eb="26">
      <t>ハヤ</t>
    </rPh>
    <rPh sb="26" eb="27">
      <t>ミ</t>
    </rPh>
    <rPh sb="27" eb="28">
      <t>ヒョウ</t>
    </rPh>
    <rPh sb="33" eb="35">
      <t>ナマエ</t>
    </rPh>
    <rPh sb="36" eb="38">
      <t>ヘンコウ</t>
    </rPh>
    <phoneticPr fontId="2"/>
  </si>
  <si>
    <t>（Rxは、令和x年の意味）</t>
    <rPh sb="5" eb="7">
      <t>レイワ</t>
    </rPh>
    <rPh sb="8" eb="9">
      <t>ネン</t>
    </rPh>
    <rPh sb="10" eb="12">
      <t>イミ</t>
    </rPh>
    <phoneticPr fontId="2"/>
  </si>
  <si>
    <t>⑥</t>
    <phoneticPr fontId="2"/>
  </si>
  <si>
    <t>「校閲」→「ブックの保護」を実行する。保護対象はシート構成をチェックし、パスワードは</t>
    <rPh sb="1" eb="3">
      <t>コウエツ</t>
    </rPh>
    <rPh sb="10" eb="12">
      <t>ホゴ</t>
    </rPh>
    <rPh sb="14" eb="16">
      <t>ジッコウ</t>
    </rPh>
    <rPh sb="19" eb="21">
      <t>ホゴ</t>
    </rPh>
    <rPh sb="21" eb="23">
      <t>タイショウ</t>
    </rPh>
    <rPh sb="27" eb="29">
      <t>コウセイ</t>
    </rPh>
    <phoneticPr fontId="2"/>
  </si>
  <si>
    <t>⑤と同様に06138101 にする。</t>
    <rPh sb="2" eb="4">
      <t>ドウヨウ</t>
    </rPh>
    <phoneticPr fontId="2"/>
  </si>
  <si>
    <t>⑦</t>
    <phoneticPr fontId="2"/>
  </si>
  <si>
    <t>ファイルを保存する。</t>
    <rPh sb="5" eb="7">
      <t>ホゾン</t>
    </rPh>
    <phoneticPr fontId="2"/>
  </si>
  <si>
    <t>柳川　記</t>
    <rPh sb="0" eb="2">
      <t>ヤ</t>
    </rPh>
    <rPh sb="3" eb="4">
      <t>シル</t>
    </rPh>
    <phoneticPr fontId="2"/>
  </si>
  <si>
    <t>前納分（任継資格取得翌月分より）</t>
    <rPh sb="0" eb="2">
      <t>ゼンノウ</t>
    </rPh>
    <rPh sb="2" eb="3">
      <t>ブン</t>
    </rPh>
    <rPh sb="4" eb="6">
      <t>ニンケイ</t>
    </rPh>
    <rPh sb="6" eb="8">
      <t>シカク</t>
    </rPh>
    <rPh sb="8" eb="10">
      <t>シュトク</t>
    </rPh>
    <rPh sb="10" eb="12">
      <t>ヨクツキ</t>
    </rPh>
    <rPh sb="12" eb="13">
      <t>ブン</t>
    </rPh>
    <phoneticPr fontId="4"/>
  </si>
  <si>
    <t>＊任意継続被保険者の標準報酬月額は、退職前のご自身の標準報酬月額と、当組合の全ての</t>
    <rPh sb="1" eb="3">
      <t>ニンイ</t>
    </rPh>
    <rPh sb="3" eb="5">
      <t>ケイゾク</t>
    </rPh>
    <rPh sb="5" eb="9">
      <t>ヒホケンシャ</t>
    </rPh>
    <rPh sb="10" eb="14">
      <t>ヒョウジュンホウシュウ</t>
    </rPh>
    <rPh sb="14" eb="16">
      <t>ゲツガク</t>
    </rPh>
    <rPh sb="18" eb="20">
      <t>タイショク</t>
    </rPh>
    <rPh sb="20" eb="21">
      <t>マエ</t>
    </rPh>
    <rPh sb="23" eb="25">
      <t>ジシン</t>
    </rPh>
    <rPh sb="26" eb="28">
      <t>ヒョウジュン</t>
    </rPh>
    <rPh sb="28" eb="30">
      <t>ホウシュウ</t>
    </rPh>
    <rPh sb="30" eb="32">
      <t>ゲツガク</t>
    </rPh>
    <rPh sb="34" eb="35">
      <t>トウ</t>
    </rPh>
    <rPh sb="35" eb="37">
      <t>クミアイ</t>
    </rPh>
    <rPh sb="38" eb="39">
      <t>スベ</t>
    </rPh>
    <phoneticPr fontId="2"/>
  </si>
  <si>
    <t>＊＊　保険料の前納は６カ月分を年２回、３月に４～９月分、９月に１０～３月分を納付頂きます。
　　 前納分保険料には割引が適用されます。期間の途中に資格取得された場合は、例えば５月
     資格取得であれば初月（５月）分と前納４ヵ月分（６～９月）を納付頂きます。</t>
    <rPh sb="3" eb="6">
      <t>ホケンリョウ</t>
    </rPh>
    <rPh sb="7" eb="9">
      <t>ゼンノウ</t>
    </rPh>
    <rPh sb="12" eb="13">
      <t>ゲツ</t>
    </rPh>
    <rPh sb="13" eb="14">
      <t>ブン</t>
    </rPh>
    <rPh sb="15" eb="16">
      <t>ネン</t>
    </rPh>
    <rPh sb="17" eb="18">
      <t>カイ</t>
    </rPh>
    <rPh sb="20" eb="21">
      <t>ガツ</t>
    </rPh>
    <rPh sb="25" eb="26">
      <t>ガツ</t>
    </rPh>
    <rPh sb="26" eb="27">
      <t>ブン</t>
    </rPh>
    <rPh sb="29" eb="30">
      <t>ガツ</t>
    </rPh>
    <rPh sb="35" eb="36">
      <t>ガツ</t>
    </rPh>
    <rPh sb="36" eb="37">
      <t>ブン</t>
    </rPh>
    <rPh sb="38" eb="40">
      <t>ノウフ</t>
    </rPh>
    <rPh sb="40" eb="41">
      <t>イタダ</t>
    </rPh>
    <rPh sb="103" eb="105">
      <t>ショゲツ</t>
    </rPh>
    <rPh sb="107" eb="108">
      <t>ガツ</t>
    </rPh>
    <rPh sb="109" eb="110">
      <t>ブン</t>
    </rPh>
    <rPh sb="111" eb="113">
      <t>ゼンノウ</t>
    </rPh>
    <rPh sb="115" eb="116">
      <t>ゲツ</t>
    </rPh>
    <rPh sb="116" eb="117">
      <t>ブン</t>
    </rPh>
    <rPh sb="121" eb="122">
      <t>ガツ</t>
    </rPh>
    <rPh sb="124" eb="126">
      <t>ノウフ</t>
    </rPh>
    <rPh sb="126" eb="127">
      <t>イタダ</t>
    </rPh>
    <phoneticPr fontId="2"/>
  </si>
  <si>
    <t>川崎汽船健康保険組合 2022.8</t>
    <rPh sb="0" eb="10">
      <t>ケンポ</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</si>
</sst>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Red]\-#,##0\ "/>
    <numFmt numFmtId="177" formatCode="yyyy/m/d;@"/>
    <numFmt numFmtId="178" formatCode="#,##0.00000000_ ;[Red]\-#,##0.00000000\ "/>
    <numFmt numFmtId="179" formatCode="0&quot;ヵ&quot;&quot;月&quot;"/>
  </numFmts>
  <fonts count="18" x14ac:knownFonts="1">
    <font>
      <sz val="11"/>
      <name val="ＭＳ Ｐゴシック"/>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ゴシック"/>
      <charset val="128"/>
    </font>
    <font>
      <sz val="10"/>
      <name val="ＭＳ Ｐゴシック"/>
      <family val="3"/>
      <charset val="128"/>
    </font>
    <font>
      <sz val="12"/>
      <name val="ＭＳ Ｐゴシック"/>
      <family val="3"/>
      <charset val="128"/>
    </font>
    <font>
      <b/>
      <sz val="10"/>
      <name val="ＭＳ Ｐゴシック"/>
      <family val="3"/>
      <charset val="128"/>
    </font>
    <font>
      <b/>
      <sz val="9"/>
      <color rgb="FFFF0000"/>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b/>
      <sz val="10"/>
      <color rgb="FFFF0000"/>
      <name val="ＭＳ Ｐゴシック"/>
      <family val="3"/>
      <charset val="128"/>
    </font>
    <font>
      <b/>
      <sz val="12"/>
      <name val="ＭＳ Ｐゴシック"/>
      <family val="3"/>
      <charset val="128"/>
    </font>
    <font>
      <b/>
      <sz val="9"/>
      <name val="ＭＳ Ｐゴシック"/>
      <family val="3"/>
      <charset val="128"/>
    </font>
    <font>
      <b/>
      <sz val="11"/>
      <color rgb="FFFF0000"/>
      <name val="ＭＳ Ｐゴシック"/>
      <family val="3"/>
      <charset val="128"/>
    </font>
    <font>
      <b/>
      <sz val="11"/>
      <color theme="0"/>
      <name val="ＭＳ Ｐゴシック"/>
      <family val="3"/>
      <charset val="128"/>
    </font>
    <font>
      <b/>
      <sz val="8"/>
      <name val="ＭＳ Ｐゴシック"/>
      <family val="3"/>
      <charset val="128"/>
    </font>
  </fonts>
  <fills count="9">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solid">
        <fgColor rgb="FFCCECFF"/>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E1FF"/>
        <bgColor indexed="64"/>
      </patternFill>
    </fill>
  </fills>
  <borders count="48">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auto="1"/>
      </bottom>
      <diagonal/>
    </border>
    <border>
      <left style="medium">
        <color indexed="64"/>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bottom style="thin">
        <color indexed="64"/>
      </bottom>
      <diagonal/>
    </border>
    <border>
      <left style="thin">
        <color auto="1"/>
      </left>
      <right style="medium">
        <color auto="1"/>
      </right>
      <top style="thin">
        <color indexed="64"/>
      </top>
      <bottom/>
      <diagonal/>
    </border>
    <border>
      <left/>
      <right style="medium">
        <color auto="1"/>
      </right>
      <top style="thin">
        <color indexed="64"/>
      </top>
      <bottom style="thin">
        <color indexed="64"/>
      </bottom>
      <diagonal/>
    </border>
    <border>
      <left style="medium">
        <color auto="1"/>
      </left>
      <right/>
      <top/>
      <bottom style="medium">
        <color auto="1"/>
      </bottom>
      <diagonal/>
    </border>
    <border>
      <left style="medium">
        <color indexed="64"/>
      </left>
      <right style="medium">
        <color indexed="64"/>
      </right>
      <top style="medium">
        <color indexed="64"/>
      </top>
      <bottom style="thin">
        <color indexed="64"/>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auto="1"/>
      </left>
      <right style="medium">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6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6" borderId="4" xfId="2" applyFill="1" applyBorder="1" applyAlignment="1">
      <alignment horizontal="center" vertical="center"/>
    </xf>
    <xf numFmtId="0" fontId="1" fillId="6" borderId="24" xfId="2" applyFill="1" applyBorder="1" applyAlignment="1">
      <alignment horizontal="center" vertical="center"/>
    </xf>
    <xf numFmtId="0" fontId="1" fillId="6" borderId="25" xfId="2" applyFill="1" applyBorder="1" applyAlignment="1">
      <alignment horizontal="center" vertical="center"/>
    </xf>
    <xf numFmtId="0" fontId="1" fillId="0" borderId="0" xfId="0" applyFont="1">
      <alignment vertical="center"/>
    </xf>
    <xf numFmtId="0" fontId="6" fillId="0" borderId="0" xfId="0" applyFont="1">
      <alignment vertical="center"/>
    </xf>
    <xf numFmtId="176" fontId="6" fillId="7" borderId="13" xfId="1" applyNumberFormat="1" applyFont="1" applyFill="1" applyBorder="1" applyAlignment="1">
      <alignment vertical="center"/>
    </xf>
    <xf numFmtId="176" fontId="6" fillId="7" borderId="29" xfId="1" applyNumberFormat="1" applyFont="1" applyFill="1" applyBorder="1" applyAlignment="1">
      <alignment vertical="center"/>
    </xf>
    <xf numFmtId="176" fontId="6" fillId="7" borderId="15" xfId="1" applyNumberFormat="1" applyFont="1" applyFill="1" applyBorder="1" applyAlignment="1">
      <alignment vertical="center"/>
    </xf>
    <xf numFmtId="176" fontId="6" fillId="7" borderId="12" xfId="1" applyNumberFormat="1" applyFont="1" applyFill="1" applyBorder="1" applyAlignment="1">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178" fontId="9" fillId="0" borderId="0" xfId="0" applyNumberFormat="1" applyFont="1">
      <alignment vertical="center"/>
    </xf>
    <xf numFmtId="0" fontId="10" fillId="0" borderId="0" xfId="0" applyFont="1">
      <alignment vertical="center"/>
    </xf>
    <xf numFmtId="0" fontId="0" fillId="0" borderId="33" xfId="0" applyBorder="1" applyAlignment="1">
      <alignment horizontal="center" vertical="center"/>
    </xf>
    <xf numFmtId="0" fontId="0" fillId="0" borderId="32" xfId="0" applyBorder="1">
      <alignment vertical="center"/>
    </xf>
    <xf numFmtId="176" fontId="0" fillId="0" borderId="38" xfId="0" applyNumberFormat="1" applyBorder="1">
      <alignment vertical="center"/>
    </xf>
    <xf numFmtId="176" fontId="0" fillId="0" borderId="39" xfId="0" applyNumberFormat="1" applyBorder="1">
      <alignment vertical="center"/>
    </xf>
    <xf numFmtId="0" fontId="0" fillId="0" borderId="34" xfId="0" applyBorder="1" applyAlignment="1">
      <alignment horizontal="center" vertical="center"/>
    </xf>
    <xf numFmtId="176" fontId="0" fillId="0" borderId="23" xfId="0" applyNumberFormat="1" applyBorder="1">
      <alignment vertical="center"/>
    </xf>
    <xf numFmtId="176" fontId="0" fillId="0" borderId="31" xfId="0" applyNumberFormat="1" applyBorder="1">
      <alignment vertical="center"/>
    </xf>
    <xf numFmtId="176" fontId="0" fillId="0" borderId="35" xfId="0" applyNumberFormat="1" applyBorder="1">
      <alignment vertical="center"/>
    </xf>
    <xf numFmtId="0" fontId="0" fillId="0" borderId="40" xfId="0" applyBorder="1" applyAlignment="1">
      <alignment horizontal="center" vertical="center"/>
    </xf>
    <xf numFmtId="176" fontId="0" fillId="0" borderId="41" xfId="0" applyNumberFormat="1" applyBorder="1">
      <alignment vertical="center"/>
    </xf>
    <xf numFmtId="176" fontId="0" fillId="0" borderId="16" xfId="0" applyNumberFormat="1" applyBorder="1">
      <alignment vertical="center"/>
    </xf>
    <xf numFmtId="176" fontId="0" fillId="0" borderId="9" xfId="0" applyNumberFormat="1" applyBorder="1">
      <alignment vertical="center"/>
    </xf>
    <xf numFmtId="176" fontId="0" fillId="0" borderId="22" xfId="0" applyNumberFormat="1" applyBorder="1">
      <alignment vertical="center"/>
    </xf>
    <xf numFmtId="176" fontId="0" fillId="0" borderId="7" xfId="0" applyNumberFormat="1" applyBorder="1">
      <alignment vertical="center"/>
    </xf>
    <xf numFmtId="176" fontId="0" fillId="0" borderId="42" xfId="0" applyNumberFormat="1" applyBorder="1">
      <alignment vertical="center"/>
    </xf>
    <xf numFmtId="0" fontId="7" fillId="4" borderId="36" xfId="0" applyFont="1" applyFill="1" applyBorder="1" applyAlignment="1">
      <alignment horizontal="center" vertical="center"/>
    </xf>
    <xf numFmtId="0" fontId="7" fillId="4" borderId="25" xfId="0" applyFont="1" applyFill="1" applyBorder="1" applyAlignment="1">
      <alignment horizontal="center" vertical="center"/>
    </xf>
    <xf numFmtId="0" fontId="3" fillId="0" borderId="0" xfId="0" applyFont="1" applyAlignment="1">
      <alignment horizontal="left" vertical="center"/>
    </xf>
    <xf numFmtId="0" fontId="7" fillId="6" borderId="36" xfId="0" applyFont="1" applyFill="1" applyBorder="1" applyAlignment="1">
      <alignment horizontal="center" vertical="center"/>
    </xf>
    <xf numFmtId="0" fontId="7" fillId="6" borderId="25" xfId="0" applyFont="1" applyFill="1" applyBorder="1" applyAlignment="1">
      <alignment horizontal="center" vertical="center"/>
    </xf>
    <xf numFmtId="0" fontId="5" fillId="0" borderId="0" xfId="0" applyFont="1">
      <alignment vertical="center"/>
    </xf>
    <xf numFmtId="177" fontId="5" fillId="0" borderId="0" xfId="0" applyNumberFormat="1" applyFont="1">
      <alignment vertical="center"/>
    </xf>
    <xf numFmtId="176" fontId="5" fillId="0" borderId="0" xfId="0" applyNumberFormat="1" applyFont="1">
      <alignment vertical="center"/>
    </xf>
    <xf numFmtId="176" fontId="0" fillId="0" borderId="2" xfId="0" applyNumberFormat="1" applyBorder="1">
      <alignment vertical="center"/>
    </xf>
    <xf numFmtId="176" fontId="0" fillId="0" borderId="8" xfId="0" applyNumberFormat="1" applyBorder="1">
      <alignment vertical="center"/>
    </xf>
    <xf numFmtId="176" fontId="0" fillId="0" borderId="43" xfId="0" applyNumberFormat="1" applyBorder="1">
      <alignment vertical="center"/>
    </xf>
    <xf numFmtId="179" fontId="7" fillId="4" borderId="37" xfId="0" applyNumberFormat="1" applyFont="1" applyFill="1" applyBorder="1" applyAlignment="1">
      <alignment horizontal="center" vertical="center"/>
    </xf>
    <xf numFmtId="179" fontId="7" fillId="4" borderId="4" xfId="0" applyNumberFormat="1" applyFont="1" applyFill="1" applyBorder="1" applyAlignment="1">
      <alignment horizontal="center" vertical="center"/>
    </xf>
    <xf numFmtId="179" fontId="7" fillId="4" borderId="26" xfId="0" applyNumberFormat="1" applyFont="1" applyFill="1" applyBorder="1" applyAlignment="1">
      <alignment horizontal="center" vertical="center"/>
    </xf>
    <xf numFmtId="179" fontId="7" fillId="4" borderId="25" xfId="0" applyNumberFormat="1" applyFont="1" applyFill="1" applyBorder="1" applyAlignment="1">
      <alignment horizontal="center" vertical="center"/>
    </xf>
    <xf numFmtId="179" fontId="7" fillId="6" borderId="37" xfId="0" applyNumberFormat="1" applyFont="1" applyFill="1" applyBorder="1" applyAlignment="1">
      <alignment horizontal="center" vertical="center"/>
    </xf>
    <xf numFmtId="179" fontId="7" fillId="6" borderId="4" xfId="0" applyNumberFormat="1" applyFont="1" applyFill="1" applyBorder="1" applyAlignment="1">
      <alignment horizontal="center" vertical="center"/>
    </xf>
    <xf numFmtId="179" fontId="7" fillId="6" borderId="26" xfId="0" applyNumberFormat="1" applyFont="1" applyFill="1" applyBorder="1" applyAlignment="1">
      <alignment horizontal="center" vertical="center"/>
    </xf>
    <xf numFmtId="179" fontId="7" fillId="6" borderId="25" xfId="0" applyNumberFormat="1" applyFont="1" applyFill="1" applyBorder="1" applyAlignment="1">
      <alignment horizontal="center" vertical="center"/>
    </xf>
    <xf numFmtId="0" fontId="7" fillId="4" borderId="45" xfId="0" applyFont="1" applyFill="1" applyBorder="1" applyAlignment="1">
      <alignment horizontal="center" vertical="center"/>
    </xf>
    <xf numFmtId="0" fontId="7" fillId="4" borderId="1" xfId="0" applyFont="1" applyFill="1" applyBorder="1" applyAlignment="1">
      <alignment horizontal="center" vertical="center"/>
    </xf>
    <xf numFmtId="0" fontId="7" fillId="6" borderId="45" xfId="0" applyFont="1" applyFill="1" applyBorder="1" applyAlignment="1">
      <alignment horizontal="center" vertical="center"/>
    </xf>
    <xf numFmtId="0" fontId="7" fillId="6" borderId="1" xfId="0" applyFont="1" applyFill="1" applyBorder="1" applyAlignment="1">
      <alignment horizontal="center" vertical="center"/>
    </xf>
    <xf numFmtId="177" fontId="1" fillId="0" borderId="0" xfId="0" applyNumberFormat="1" applyFont="1" applyAlignment="1">
      <alignment horizontal="center" vertical="center"/>
    </xf>
    <xf numFmtId="177" fontId="0" fillId="0" borderId="0" xfId="0" applyNumberFormat="1" applyAlignment="1">
      <alignment horizontal="center" vertical="center"/>
    </xf>
    <xf numFmtId="6" fontId="0" fillId="0" borderId="0" xfId="0" applyNumberFormat="1">
      <alignment vertical="center"/>
    </xf>
    <xf numFmtId="0" fontId="12" fillId="0" borderId="0" xfId="0" applyFont="1">
      <alignment vertical="center"/>
    </xf>
    <xf numFmtId="0" fontId="15" fillId="0" borderId="0" xfId="0" applyFont="1">
      <alignment vertical="center"/>
    </xf>
    <xf numFmtId="0" fontId="14" fillId="0" borderId="0" xfId="0" applyFont="1" applyAlignment="1">
      <alignment horizontal="center" vertical="center"/>
    </xf>
    <xf numFmtId="177" fontId="13" fillId="0" borderId="0" xfId="0" applyNumberFormat="1" applyFont="1" applyAlignment="1">
      <alignment horizontal="left" vertical="center"/>
    </xf>
    <xf numFmtId="0" fontId="7" fillId="0" borderId="0" xfId="0" applyFont="1" applyAlignment="1">
      <alignment horizontal="right" vertical="center"/>
    </xf>
    <xf numFmtId="0" fontId="15" fillId="0" borderId="0" xfId="0" applyFont="1" applyAlignment="1">
      <alignment horizontal="left" vertical="top" wrapText="1"/>
    </xf>
    <xf numFmtId="0" fontId="8" fillId="0" borderId="0" xfId="0" applyFont="1" applyAlignment="1">
      <alignment horizontal="right" vertical="center"/>
    </xf>
    <xf numFmtId="0" fontId="3" fillId="5" borderId="0" xfId="0" applyFont="1" applyFill="1" applyAlignment="1" applyProtection="1">
      <alignment horizontal="center" vertical="center"/>
      <protection locked="0"/>
    </xf>
    <xf numFmtId="176" fontId="3" fillId="5" borderId="0" xfId="0" applyNumberFormat="1" applyFont="1" applyFill="1" applyProtection="1">
      <alignment vertical="center"/>
      <protection locked="0"/>
    </xf>
    <xf numFmtId="176" fontId="6" fillId="3" borderId="14" xfId="1" applyNumberFormat="1" applyFont="1" applyFill="1" applyBorder="1" applyAlignment="1" applyProtection="1">
      <alignment vertical="center"/>
      <protection locked="0"/>
    </xf>
    <xf numFmtId="176" fontId="6" fillId="3" borderId="5" xfId="1" applyNumberFormat="1" applyFont="1" applyFill="1" applyBorder="1" applyAlignment="1" applyProtection="1">
      <alignment horizontal="right" vertical="center" shrinkToFit="1"/>
      <protection locked="0"/>
    </xf>
    <xf numFmtId="176" fontId="6" fillId="3" borderId="6" xfId="1" applyNumberFormat="1" applyFont="1" applyFill="1" applyBorder="1" applyAlignment="1" applyProtection="1">
      <alignment horizontal="right" vertical="center" shrinkToFit="1"/>
      <protection locked="0"/>
    </xf>
    <xf numFmtId="176" fontId="6" fillId="3" borderId="27" xfId="1" applyNumberFormat="1" applyFont="1" applyFill="1" applyBorder="1" applyAlignment="1" applyProtection="1">
      <alignment vertical="center" shrinkToFit="1"/>
      <protection locked="0"/>
    </xf>
    <xf numFmtId="176" fontId="6" fillId="3" borderId="16" xfId="1" applyNumberFormat="1" applyFont="1" applyFill="1" applyBorder="1" applyAlignment="1" applyProtection="1">
      <alignment vertical="center"/>
      <protection locked="0"/>
    </xf>
    <xf numFmtId="176" fontId="6" fillId="3" borderId="17" xfId="1" applyNumberFormat="1" applyFont="1" applyFill="1" applyBorder="1" applyAlignment="1" applyProtection="1">
      <alignment vertical="center"/>
      <protection locked="0"/>
    </xf>
    <xf numFmtId="176" fontId="6" fillId="3" borderId="10" xfId="1" applyNumberFormat="1" applyFont="1" applyFill="1" applyBorder="1" applyAlignment="1" applyProtection="1">
      <alignment horizontal="right" vertical="center" shrinkToFit="1"/>
      <protection locked="0"/>
    </xf>
    <xf numFmtId="176" fontId="6" fillId="3" borderId="11" xfId="1" applyNumberFormat="1" applyFont="1" applyFill="1" applyBorder="1" applyAlignment="1" applyProtection="1">
      <alignment horizontal="right" vertical="center" shrinkToFit="1"/>
      <protection locked="0"/>
    </xf>
    <xf numFmtId="176" fontId="6" fillId="3" borderId="28" xfId="1" applyNumberFormat="1" applyFont="1" applyFill="1" applyBorder="1" applyAlignment="1" applyProtection="1">
      <alignment vertical="center" shrinkToFit="1"/>
      <protection locked="0"/>
    </xf>
    <xf numFmtId="176" fontId="6" fillId="3" borderId="18" xfId="1" applyNumberFormat="1" applyFont="1" applyFill="1" applyBorder="1" applyAlignment="1" applyProtection="1">
      <alignment vertical="center"/>
      <protection locked="0"/>
    </xf>
    <xf numFmtId="176" fontId="6" fillId="3" borderId="24" xfId="1" applyNumberFormat="1" applyFont="1" applyFill="1" applyBorder="1" applyAlignment="1" applyProtection="1">
      <alignment horizontal="right" vertical="center" shrinkToFit="1"/>
      <protection locked="0"/>
    </xf>
    <xf numFmtId="176" fontId="6" fillId="3" borderId="4" xfId="1" applyNumberFormat="1" applyFont="1" applyFill="1" applyBorder="1" applyAlignment="1" applyProtection="1">
      <alignment horizontal="right" vertical="center" shrinkToFit="1"/>
      <protection locked="0"/>
    </xf>
    <xf numFmtId="176" fontId="6" fillId="3" borderId="25" xfId="1" applyNumberFormat="1" applyFont="1" applyFill="1" applyBorder="1" applyAlignment="1" applyProtection="1">
      <alignment vertical="center" shrinkToFit="1"/>
      <protection locked="0"/>
    </xf>
    <xf numFmtId="176" fontId="7" fillId="6" borderId="20" xfId="0" applyNumberFormat="1" applyFont="1" applyFill="1" applyBorder="1" applyAlignment="1">
      <alignment horizontal="center" vertical="center"/>
    </xf>
    <xf numFmtId="0" fontId="7" fillId="6" borderId="46" xfId="0" applyFont="1" applyFill="1" applyBorder="1" applyAlignment="1">
      <alignment horizontal="center" vertical="center"/>
    </xf>
    <xf numFmtId="176" fontId="7" fillId="4" borderId="20" xfId="0" applyNumberFormat="1" applyFont="1" applyFill="1" applyBorder="1" applyAlignment="1">
      <alignment horizontal="center" vertical="center"/>
    </xf>
    <xf numFmtId="0" fontId="7" fillId="4" borderId="46" xfId="0" applyFont="1" applyFill="1" applyBorder="1" applyAlignment="1">
      <alignment horizontal="center" vertical="center"/>
    </xf>
    <xf numFmtId="177" fontId="17" fillId="0" borderId="0" xfId="0" applyNumberFormat="1" applyFont="1">
      <alignment vertical="center"/>
    </xf>
    <xf numFmtId="0" fontId="0" fillId="8" borderId="0" xfId="0" applyFill="1">
      <alignment vertical="center"/>
    </xf>
    <xf numFmtId="178" fontId="9" fillId="8" borderId="0" xfId="0" applyNumberFormat="1" applyFont="1" applyFill="1">
      <alignment vertical="center"/>
    </xf>
    <xf numFmtId="178" fontId="0" fillId="8" borderId="0" xfId="0" applyNumberFormat="1" applyFill="1">
      <alignment vertical="center"/>
    </xf>
    <xf numFmtId="0" fontId="5" fillId="8" borderId="0" xfId="0" applyFont="1" applyFill="1">
      <alignment vertical="center"/>
    </xf>
    <xf numFmtId="0" fontId="5" fillId="8" borderId="0" xfId="0" applyFont="1" applyFill="1" applyAlignment="1">
      <alignment horizontal="center" vertical="center"/>
    </xf>
    <xf numFmtId="177" fontId="5" fillId="8" borderId="0" xfId="0" applyNumberFormat="1" applyFont="1" applyFill="1">
      <alignment vertical="center"/>
    </xf>
    <xf numFmtId="176" fontId="5" fillId="8" borderId="0" xfId="0" applyNumberFormat="1" applyFont="1" applyFill="1">
      <alignment vertical="center"/>
    </xf>
    <xf numFmtId="0" fontId="0" fillId="0" borderId="0" xfId="0" applyAlignment="1">
      <alignment horizontal="center" vertical="center"/>
    </xf>
    <xf numFmtId="0" fontId="11" fillId="0" borderId="0" xfId="0" applyFont="1" applyAlignment="1">
      <alignment horizontal="left" vertical="center"/>
    </xf>
    <xf numFmtId="0" fontId="2" fillId="0" borderId="0" xfId="0" applyFont="1">
      <alignment vertical="center"/>
    </xf>
    <xf numFmtId="0" fontId="15" fillId="0" borderId="0" xfId="0" applyFont="1" applyAlignment="1">
      <alignment horizontal="left" vertical="top" wrapText="1"/>
    </xf>
    <xf numFmtId="0" fontId="2" fillId="0" borderId="0" xfId="0" applyFont="1" applyAlignment="1">
      <alignment horizontal="right" vertical="center"/>
    </xf>
    <xf numFmtId="6" fontId="0" fillId="0" borderId="44" xfId="0" applyNumberFormat="1" applyBorder="1">
      <alignment vertical="center"/>
    </xf>
    <xf numFmtId="6" fontId="0" fillId="0" borderId="14" xfId="0" applyNumberFormat="1" applyBorder="1">
      <alignment vertical="center"/>
    </xf>
    <xf numFmtId="6" fontId="0" fillId="0" borderId="17" xfId="0" applyNumberFormat="1" applyBorder="1">
      <alignment vertical="center"/>
    </xf>
    <xf numFmtId="6" fontId="0" fillId="0" borderId="47" xfId="0" applyNumberFormat="1" applyBorder="1">
      <alignment vertical="center"/>
    </xf>
    <xf numFmtId="6" fontId="0" fillId="0" borderId="38" xfId="0" applyNumberFormat="1" applyBorder="1">
      <alignment vertical="center"/>
    </xf>
    <xf numFmtId="0" fontId="7" fillId="4" borderId="33" xfId="0" applyFont="1" applyFill="1" applyBorder="1" applyAlignment="1">
      <alignment horizontal="center" vertical="center"/>
    </xf>
    <xf numFmtId="0" fontId="7" fillId="4" borderId="30" xfId="0" applyFont="1" applyFill="1" applyBorder="1" applyAlignment="1">
      <alignment horizontal="center" vertical="center"/>
    </xf>
    <xf numFmtId="0" fontId="16" fillId="0" borderId="0" xfId="0" applyFont="1" applyAlignment="1">
      <alignment horizontal="left" vertical="top" wrapText="1"/>
    </xf>
    <xf numFmtId="0" fontId="3" fillId="0" borderId="0" xfId="0" applyFont="1" applyAlignment="1">
      <alignment horizontal="left"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3" xfId="0" applyFont="1" applyFill="1" applyBorder="1" applyAlignment="1">
      <alignment horizontal="center" vertical="center"/>
    </xf>
    <xf numFmtId="0" fontId="13" fillId="0" borderId="0" xfId="0" applyFont="1" applyAlignment="1">
      <alignment horizontal="left"/>
    </xf>
    <xf numFmtId="178" fontId="11" fillId="0" borderId="0" xfId="0" applyNumberFormat="1" applyFont="1" applyAlignment="1">
      <alignment horizontal="left" vertical="center"/>
    </xf>
    <xf numFmtId="0" fontId="7" fillId="4" borderId="34" xfId="0" applyFont="1" applyFill="1" applyBorder="1" applyAlignment="1">
      <alignment horizontal="center" vertical="center" wrapText="1"/>
    </xf>
    <xf numFmtId="0" fontId="7" fillId="4" borderId="40" xfId="0" applyFont="1" applyFill="1" applyBorder="1" applyAlignment="1">
      <alignment horizontal="center" vertical="center"/>
    </xf>
    <xf numFmtId="177" fontId="1" fillId="5" borderId="31" xfId="0" applyNumberFormat="1" applyFont="1" applyFill="1" applyBorder="1" applyAlignment="1" applyProtection="1">
      <alignment horizontal="center" vertical="center"/>
      <protection locked="0"/>
    </xf>
    <xf numFmtId="177" fontId="0" fillId="5" borderId="16" xfId="0" applyNumberFormat="1" applyFill="1" applyBorder="1" applyAlignment="1" applyProtection="1">
      <alignment horizontal="center" vertical="center"/>
      <protection locked="0"/>
    </xf>
    <xf numFmtId="0" fontId="7" fillId="4" borderId="40" xfId="0" applyFont="1" applyFill="1" applyBorder="1" applyAlignment="1">
      <alignment horizontal="center" vertical="center" wrapText="1"/>
    </xf>
    <xf numFmtId="0" fontId="7" fillId="4" borderId="36" xfId="0" applyFont="1" applyFill="1" applyBorder="1" applyAlignment="1">
      <alignment horizontal="center" vertical="center"/>
    </xf>
    <xf numFmtId="176" fontId="0" fillId="5" borderId="16" xfId="0" applyNumberFormat="1" applyFill="1" applyBorder="1" applyProtection="1">
      <alignment vertical="center"/>
      <protection locked="0"/>
    </xf>
    <xf numFmtId="176" fontId="0" fillId="5" borderId="18" xfId="0" applyNumberFormat="1" applyFill="1" applyBorder="1" applyProtection="1">
      <alignment vertical="center"/>
      <protection locked="0"/>
    </xf>
    <xf numFmtId="0" fontId="7" fillId="4" borderId="44" xfId="0" applyFont="1" applyFill="1" applyBorder="1" applyAlignment="1">
      <alignment horizontal="center" vertical="center"/>
    </xf>
    <xf numFmtId="0" fontId="7" fillId="4" borderId="38" xfId="0" applyFont="1" applyFill="1" applyBorder="1" applyAlignment="1">
      <alignment horizontal="center" vertical="center"/>
    </xf>
    <xf numFmtId="177" fontId="13" fillId="0" borderId="0" xfId="0" applyNumberFormat="1" applyFont="1" applyAlignment="1">
      <alignment horizontal="left" vertical="center"/>
    </xf>
    <xf numFmtId="0" fontId="14" fillId="0" borderId="0" xfId="0" applyFont="1" applyAlignment="1">
      <alignment horizontal="center" vertical="center"/>
    </xf>
    <xf numFmtId="0" fontId="8" fillId="0" borderId="33" xfId="0" applyFont="1" applyBorder="1" applyAlignment="1">
      <alignment horizontal="right" vertical="center"/>
    </xf>
    <xf numFmtId="0" fontId="8" fillId="0" borderId="0" xfId="0" applyFont="1" applyAlignment="1">
      <alignment horizontal="right" vertical="center"/>
    </xf>
    <xf numFmtId="14" fontId="7" fillId="0" borderId="0" xfId="0" applyNumberFormat="1" applyFont="1" applyAlignment="1">
      <alignment horizontal="right" vertical="center"/>
    </xf>
    <xf numFmtId="0" fontId="7" fillId="0" borderId="0" xfId="0" applyFont="1" applyAlignment="1">
      <alignment horizontal="right" vertical="center"/>
    </xf>
    <xf numFmtId="0" fontId="7" fillId="6" borderId="33"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4" xfId="0" applyFont="1" applyFill="1" applyBorder="1" applyAlignment="1">
      <alignment horizontal="center" vertical="center"/>
    </xf>
    <xf numFmtId="0" fontId="7" fillId="6" borderId="40" xfId="0" applyFont="1" applyFill="1" applyBorder="1" applyAlignment="1">
      <alignment horizontal="center" vertical="center"/>
    </xf>
    <xf numFmtId="177" fontId="1" fillId="0" borderId="31" xfId="0" applyNumberFormat="1" applyFont="1" applyBorder="1" applyAlignment="1">
      <alignment horizontal="center" vertical="center"/>
    </xf>
    <xf numFmtId="177" fontId="0" fillId="0" borderId="16" xfId="0" applyNumberFormat="1" applyBorder="1" applyAlignment="1">
      <alignment horizontal="center" vertical="center"/>
    </xf>
    <xf numFmtId="0" fontId="7" fillId="6" borderId="40" xfId="0" applyFont="1" applyFill="1" applyBorder="1" applyAlignment="1">
      <alignment horizontal="center" vertical="center" wrapText="1"/>
    </xf>
    <xf numFmtId="0" fontId="7" fillId="6" borderId="36" xfId="0" applyFont="1" applyFill="1" applyBorder="1" applyAlignment="1">
      <alignment horizontal="center" vertical="center"/>
    </xf>
    <xf numFmtId="176" fontId="0" fillId="0" borderId="16" xfId="0" applyNumberFormat="1" applyBorder="1">
      <alignment vertical="center"/>
    </xf>
    <xf numFmtId="176" fontId="0" fillId="0" borderId="18" xfId="0" applyNumberFormat="1" applyBorder="1">
      <alignment vertical="center"/>
    </xf>
    <xf numFmtId="0" fontId="7" fillId="6" borderId="35"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3" xfId="0" applyFont="1" applyFill="1" applyBorder="1" applyAlignment="1">
      <alignment horizontal="center" vertical="center"/>
    </xf>
    <xf numFmtId="0" fontId="6" fillId="2" borderId="20" xfId="2" applyFont="1" applyFill="1" applyBorder="1" applyAlignment="1">
      <alignment horizontal="center" vertical="center"/>
    </xf>
    <xf numFmtId="0" fontId="6" fillId="2" borderId="19" xfId="2" applyFont="1" applyFill="1" applyBorder="1" applyAlignment="1">
      <alignment horizontal="center" vertical="center"/>
    </xf>
    <xf numFmtId="0" fontId="1" fillId="6" borderId="3" xfId="2" applyFill="1" applyBorder="1" applyAlignment="1">
      <alignment horizontal="center" vertical="center" wrapText="1"/>
    </xf>
    <xf numFmtId="0" fontId="1" fillId="6" borderId="12" xfId="2" applyFill="1" applyBorder="1" applyAlignment="1">
      <alignment horizontal="center" vertical="center"/>
    </xf>
    <xf numFmtId="0" fontId="6" fillId="2" borderId="30" xfId="2" applyFont="1" applyFill="1" applyBorder="1" applyAlignment="1">
      <alignment horizontal="center" vertical="center"/>
    </xf>
    <xf numFmtId="0" fontId="6" fillId="2" borderId="1" xfId="2" applyFont="1" applyFill="1" applyBorder="1" applyAlignment="1">
      <alignment horizontal="center" vertical="center"/>
    </xf>
    <xf numFmtId="0" fontId="1" fillId="6" borderId="21"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1" fillId="6" borderId="21" xfId="2" applyFill="1" applyBorder="1" applyAlignment="1">
      <alignment horizontal="center" vertical="center"/>
    </xf>
    <xf numFmtId="0" fontId="1" fillId="6" borderId="2" xfId="2" applyFill="1" applyBorder="1" applyAlignment="1">
      <alignment horizontal="center" vertical="center"/>
    </xf>
    <xf numFmtId="0" fontId="1" fillId="6" borderId="24" xfId="2" applyFill="1" applyBorder="1" applyAlignment="1">
      <alignment horizontal="center" vertical="center"/>
    </xf>
    <xf numFmtId="0" fontId="1" fillId="6" borderId="26" xfId="2" applyFill="1" applyBorder="1" applyAlignment="1">
      <alignment horizontal="center" vertical="center"/>
    </xf>
    <xf numFmtId="0" fontId="7" fillId="0" borderId="0" xfId="0" applyFont="1" applyAlignment="1">
      <alignment horizontal="center" vertical="center"/>
    </xf>
    <xf numFmtId="0" fontId="1" fillId="6" borderId="31" xfId="2" applyFill="1" applyBorder="1" applyAlignment="1">
      <alignment horizontal="center" vertical="center"/>
    </xf>
    <xf numFmtId="0" fontId="1" fillId="6" borderId="18" xfId="2"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cellXfs>
  <cellStyles count="3">
    <cellStyle name="桁区切り" xfId="1" builtinId="6"/>
    <cellStyle name="標準" xfId="0" builtinId="0"/>
    <cellStyle name="標準_Sheet1" xfId="2" xr:uid="{00000000-0005-0000-0000-000002000000}"/>
  </cellStyles>
  <dxfs count="3">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1FF"/>
      <color rgb="FFFFFFCC"/>
      <color rgb="FFCCFFCC"/>
      <color rgb="FFCCECFF"/>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9CF9-79C9-4302-99C4-B149954D4E81}">
  <sheetPr>
    <pageSetUpPr fitToPage="1"/>
  </sheetPr>
  <dimension ref="A1:X48"/>
  <sheetViews>
    <sheetView showGridLines="0" tabSelected="1" topLeftCell="A2" workbookViewId="0">
      <selection activeCell="A2" sqref="A2"/>
    </sheetView>
  </sheetViews>
  <sheetFormatPr defaultRowHeight="16.5" customHeight="1" x14ac:dyDescent="0.15"/>
  <cols>
    <col min="1" max="1" width="8" customWidth="1"/>
    <col min="2" max="2" width="12.625" customWidth="1"/>
    <col min="3" max="3" width="10.625" customWidth="1"/>
    <col min="4" max="4" width="9.875" hidden="1" customWidth="1"/>
    <col min="5" max="10" width="10.625" customWidth="1"/>
    <col min="11" max="11" width="3.375" customWidth="1"/>
    <col min="12" max="12" width="16" customWidth="1"/>
    <col min="13" max="14" width="12.75" customWidth="1"/>
    <col min="15" max="15" width="9" customWidth="1"/>
    <col min="16" max="16" width="11.375" style="90" hidden="1" customWidth="1"/>
    <col min="17" max="17" width="0" style="90" hidden="1" customWidth="1"/>
    <col min="18" max="18" width="10.5" style="90" hidden="1" customWidth="1"/>
    <col min="19" max="19" width="11.625" style="90" hidden="1" customWidth="1"/>
    <col min="20" max="24" width="0" style="90" hidden="1" customWidth="1"/>
  </cols>
  <sheetData>
    <row r="1" spans="1:24" s="87" customFormat="1" ht="18" hidden="1" customHeight="1" x14ac:dyDescent="0.15">
      <c r="E1" s="88">
        <v>0.99673694000000002</v>
      </c>
      <c r="F1" s="88">
        <v>1.99022147</v>
      </c>
      <c r="G1" s="88">
        <v>2.9804642000000001</v>
      </c>
      <c r="H1" s="88">
        <v>3.9674757299999999</v>
      </c>
      <c r="I1" s="88">
        <v>4.9512665699999996</v>
      </c>
      <c r="J1" s="88">
        <v>5.9318472499999997</v>
      </c>
      <c r="K1" s="89"/>
      <c r="P1" s="90"/>
      <c r="Q1" s="90"/>
      <c r="R1" s="90"/>
      <c r="S1" s="90"/>
      <c r="T1" s="90"/>
      <c r="U1" s="90"/>
      <c r="V1" s="90"/>
      <c r="W1" s="90"/>
      <c r="X1" s="90"/>
    </row>
    <row r="2" spans="1:24" ht="26.25" customHeight="1" x14ac:dyDescent="0.15">
      <c r="A2" s="18" t="s">
        <v>32</v>
      </c>
      <c r="E2" s="17"/>
      <c r="F2" s="112" t="str">
        <f>料額表!A1&amp;料額表!B1&amp;"年度分"</f>
        <v>令和7年度分</v>
      </c>
      <c r="G2" s="112"/>
      <c r="H2" s="17"/>
      <c r="I2" s="17"/>
      <c r="J2" s="17"/>
      <c r="K2" s="16"/>
      <c r="L2" s="127">
        <f ca="1">TODAY()</f>
        <v>45793</v>
      </c>
      <c r="M2" s="128"/>
      <c r="N2" s="64"/>
      <c r="O2" s="64"/>
    </row>
    <row r="3" spans="1:24" ht="34.5" customHeight="1" thickBot="1" x14ac:dyDescent="0.2">
      <c r="A3" s="111" t="s">
        <v>28</v>
      </c>
      <c r="B3" s="111"/>
      <c r="C3" s="111"/>
      <c r="D3" s="36"/>
      <c r="T3" s="91" t="s">
        <v>36</v>
      </c>
      <c r="U3" s="91" t="s">
        <v>37</v>
      </c>
      <c r="V3" s="91" t="s">
        <v>38</v>
      </c>
      <c r="W3" s="91" t="s">
        <v>39</v>
      </c>
    </row>
    <row r="4" spans="1:24" ht="16.5" customHeight="1" x14ac:dyDescent="0.15">
      <c r="A4" s="108" t="s">
        <v>27</v>
      </c>
      <c r="B4" s="109"/>
      <c r="C4" s="121" t="s">
        <v>30</v>
      </c>
      <c r="D4" s="53"/>
      <c r="E4" s="108" t="s">
        <v>74</v>
      </c>
      <c r="F4" s="109"/>
      <c r="G4" s="109"/>
      <c r="H4" s="109"/>
      <c r="I4" s="109"/>
      <c r="J4" s="110"/>
      <c r="L4" s="123" t="s">
        <v>47</v>
      </c>
      <c r="M4" s="123"/>
      <c r="N4" s="63"/>
      <c r="O4" s="63"/>
      <c r="P4" s="92">
        <f>M6+1</f>
        <v>1</v>
      </c>
      <c r="Q4" s="90" t="s">
        <v>15</v>
      </c>
      <c r="R4" s="92">
        <f>VALUE(料額表!$A$1&amp;料額表!$B$1&amp;"年"&amp;Q4&amp;"1日")</f>
        <v>45748</v>
      </c>
      <c r="S4" s="92">
        <f>EOMONTH(R4,0)</f>
        <v>45777</v>
      </c>
      <c r="T4" s="90" t="b">
        <f>IF(P4&gt;=料額表!M1,IF($S4&gt;=$P$4,IF($S3&lt;$P$4,1,0),0))</f>
        <v>0</v>
      </c>
      <c r="X4" s="90" t="s">
        <v>15</v>
      </c>
    </row>
    <row r="5" spans="1:24" ht="16.5" customHeight="1" thickBot="1" x14ac:dyDescent="0.2">
      <c r="A5" s="34" t="s">
        <v>29</v>
      </c>
      <c r="B5" s="35" t="s">
        <v>31</v>
      </c>
      <c r="C5" s="122"/>
      <c r="D5" s="54"/>
      <c r="E5" s="45">
        <v>1</v>
      </c>
      <c r="F5" s="46">
        <v>2</v>
      </c>
      <c r="G5" s="46">
        <v>3</v>
      </c>
      <c r="H5" s="46">
        <v>4</v>
      </c>
      <c r="I5" s="47">
        <v>5</v>
      </c>
      <c r="J5" s="48">
        <v>6</v>
      </c>
      <c r="L5" s="86" t="s">
        <v>51</v>
      </c>
      <c r="M5" s="58"/>
      <c r="N5" s="58"/>
      <c r="O5" s="58"/>
      <c r="P5" s="90">
        <f>MONTH($P$4)</f>
        <v>1</v>
      </c>
      <c r="Q5" s="90" t="s">
        <v>16</v>
      </c>
      <c r="R5" s="92">
        <f>VALUE(料額表!$A$1&amp;料額表!$B$1&amp;"年"&amp;Q5&amp;"1日")</f>
        <v>45778</v>
      </c>
      <c r="S5" s="92">
        <f t="shared" ref="S5:S15" si="0">EOMONTH(R5,0)</f>
        <v>45808</v>
      </c>
      <c r="T5" s="90">
        <f t="shared" ref="T5:V15" si="1">IF($S5&gt;=$P$4,IF($S4&lt;$P$4,1,0),0)</f>
        <v>0</v>
      </c>
      <c r="U5" s="90" t="str">
        <f>IF(T4=1,1,"")</f>
        <v/>
      </c>
      <c r="X5" s="90" t="s">
        <v>16</v>
      </c>
    </row>
    <row r="6" spans="1:24" ht="16.5" customHeight="1" x14ac:dyDescent="0.15">
      <c r="A6" s="23">
        <f>料額表!A5</f>
        <v>1</v>
      </c>
      <c r="B6" s="24">
        <f>料額表!C5</f>
        <v>58000</v>
      </c>
      <c r="C6" s="25">
        <f>IF($B6&lt;料額表!$G$1,VLOOKUP(健康保険料!$B6,料額表!$C$5:$I$54,4,FALSE),VLOOKUP(料額表!$G$1,料額表!$C$5:$I$54,4,FALSE))</f>
        <v>5220</v>
      </c>
      <c r="D6" s="26">
        <f>B6</f>
        <v>58000</v>
      </c>
      <c r="E6" s="26">
        <f t="shared" ref="E6:J6" si="2">ROUNDDOWN($C6*E$1,0)</f>
        <v>5202</v>
      </c>
      <c r="F6" s="31">
        <f t="shared" si="2"/>
        <v>10388</v>
      </c>
      <c r="G6" s="31">
        <f t="shared" si="2"/>
        <v>15558</v>
      </c>
      <c r="H6" s="31">
        <f t="shared" si="2"/>
        <v>20710</v>
      </c>
      <c r="I6" s="42">
        <f t="shared" si="2"/>
        <v>25845</v>
      </c>
      <c r="J6" s="24">
        <f t="shared" si="2"/>
        <v>30964</v>
      </c>
      <c r="L6" s="113" t="s">
        <v>42</v>
      </c>
      <c r="M6" s="115"/>
      <c r="N6" s="57"/>
      <c r="O6" s="57"/>
      <c r="P6" s="93" t="e">
        <f>IF(VLOOKUP($M$8,料額表!$D$5:$J$54,7,FALSE)&gt;料額表!$G$1,料額表!$G$1,VLOOKUP($M$8,料額表!$D$5:$J$54,7,FALSE))</f>
        <v>#N/A</v>
      </c>
      <c r="Q6" s="90" t="s">
        <v>17</v>
      </c>
      <c r="R6" s="92">
        <f>VALUE(料額表!$A$1&amp;料額表!$B$1&amp;"年"&amp;Q6&amp;"1日")</f>
        <v>45809</v>
      </c>
      <c r="S6" s="92">
        <f t="shared" si="0"/>
        <v>45838</v>
      </c>
      <c r="T6" s="90">
        <f t="shared" si="1"/>
        <v>0</v>
      </c>
      <c r="U6" s="90" t="str">
        <f>IF(T5=1,1,IF(U5="","",U5+1))</f>
        <v/>
      </c>
      <c r="X6" s="90" t="s">
        <v>17</v>
      </c>
    </row>
    <row r="7" spans="1:24" ht="16.5" customHeight="1" x14ac:dyDescent="0.15">
      <c r="A7" s="27">
        <f>料額表!A6</f>
        <v>2</v>
      </c>
      <c r="B7" s="28">
        <f>料額表!C6</f>
        <v>68000</v>
      </c>
      <c r="C7" s="29">
        <f>IF($B7&lt;料額表!$G$1,VLOOKUP(健康保険料!$B7,料額表!$C$5:$I$54,4,FALSE),VLOOKUP(料額表!$G$1,料額表!$C$5:$I$54,4,FALSE))</f>
        <v>6120</v>
      </c>
      <c r="D7" s="30">
        <f t="shared" ref="D7:D40" si="3">B7</f>
        <v>68000</v>
      </c>
      <c r="E7" s="30">
        <f t="shared" ref="E7:J35" si="4">ROUNDDOWN($C7*E$1,0)</f>
        <v>6100</v>
      </c>
      <c r="F7" s="32">
        <f t="shared" si="4"/>
        <v>12180</v>
      </c>
      <c r="G7" s="32">
        <f t="shared" si="4"/>
        <v>18240</v>
      </c>
      <c r="H7" s="32">
        <f t="shared" si="4"/>
        <v>24280</v>
      </c>
      <c r="I7" s="43">
        <f t="shared" si="4"/>
        <v>30301</v>
      </c>
      <c r="J7" s="28">
        <f t="shared" si="4"/>
        <v>36302</v>
      </c>
      <c r="L7" s="114"/>
      <c r="M7" s="116"/>
      <c r="N7" s="58"/>
      <c r="O7" s="58"/>
      <c r="Q7" s="90" t="s">
        <v>18</v>
      </c>
      <c r="R7" s="92">
        <f>VALUE(料額表!$A$1&amp;料額表!$B$1&amp;"年"&amp;Q7&amp;"1日")</f>
        <v>45839</v>
      </c>
      <c r="S7" s="92">
        <f t="shared" si="0"/>
        <v>45869</v>
      </c>
      <c r="T7" s="90">
        <f t="shared" si="1"/>
        <v>0</v>
      </c>
      <c r="U7" s="90" t="str">
        <f t="shared" ref="U7:U9" si="5">IF(T6=1,1,IF(U6="","",U6+1))</f>
        <v/>
      </c>
      <c r="X7" s="90" t="s">
        <v>18</v>
      </c>
    </row>
    <row r="8" spans="1:24" ht="16.5" customHeight="1" x14ac:dyDescent="0.15">
      <c r="A8" s="27">
        <f>料額表!A7</f>
        <v>3</v>
      </c>
      <c r="B8" s="28">
        <f>料額表!C7</f>
        <v>78000</v>
      </c>
      <c r="C8" s="29">
        <f>IF($B8&lt;料額表!$G$1,VLOOKUP(健康保険料!$B8,料額表!$C$5:$I$54,4,FALSE),VLOOKUP(料額表!$G$1,料額表!$C$5:$I$54,4,FALSE))</f>
        <v>7020</v>
      </c>
      <c r="D8" s="30">
        <f t="shared" si="3"/>
        <v>78000</v>
      </c>
      <c r="E8" s="30">
        <f t="shared" si="4"/>
        <v>6997</v>
      </c>
      <c r="F8" s="32">
        <f t="shared" si="4"/>
        <v>13971</v>
      </c>
      <c r="G8" s="32">
        <f t="shared" si="4"/>
        <v>20922</v>
      </c>
      <c r="H8" s="32">
        <f t="shared" si="4"/>
        <v>27851</v>
      </c>
      <c r="I8" s="43">
        <f t="shared" si="4"/>
        <v>34757</v>
      </c>
      <c r="J8" s="28">
        <f t="shared" si="4"/>
        <v>41641</v>
      </c>
      <c r="L8" s="117" t="s">
        <v>46</v>
      </c>
      <c r="M8" s="119"/>
      <c r="N8" s="14"/>
      <c r="O8" s="14"/>
      <c r="Q8" s="90" t="s">
        <v>19</v>
      </c>
      <c r="R8" s="92">
        <f>VALUE(料額表!$A$1&amp;料額表!$B$1&amp;"年"&amp;Q8&amp;"1日")</f>
        <v>45870</v>
      </c>
      <c r="S8" s="92">
        <f t="shared" si="0"/>
        <v>45900</v>
      </c>
      <c r="T8" s="90">
        <f t="shared" si="1"/>
        <v>0</v>
      </c>
      <c r="U8" s="90" t="str">
        <f t="shared" si="5"/>
        <v/>
      </c>
      <c r="X8" s="90" t="s">
        <v>19</v>
      </c>
    </row>
    <row r="9" spans="1:24" ht="16.5" customHeight="1" thickBot="1" x14ac:dyDescent="0.2">
      <c r="A9" s="27">
        <f>料額表!A8</f>
        <v>4</v>
      </c>
      <c r="B9" s="28">
        <f>料額表!C8</f>
        <v>88000</v>
      </c>
      <c r="C9" s="29">
        <f>IF($B9&lt;料額表!$G$1,VLOOKUP(健康保険料!$B9,料額表!$C$5:$I$54,4,FALSE),VLOOKUP(料額表!$G$1,料額表!$C$5:$I$54,4,FALSE))</f>
        <v>7920</v>
      </c>
      <c r="D9" s="30">
        <f t="shared" si="3"/>
        <v>88000</v>
      </c>
      <c r="E9" s="30">
        <f t="shared" si="4"/>
        <v>7894</v>
      </c>
      <c r="F9" s="32">
        <f t="shared" si="4"/>
        <v>15762</v>
      </c>
      <c r="G9" s="32">
        <f t="shared" si="4"/>
        <v>23605</v>
      </c>
      <c r="H9" s="32">
        <f t="shared" si="4"/>
        <v>31422</v>
      </c>
      <c r="I9" s="43">
        <f t="shared" si="4"/>
        <v>39214</v>
      </c>
      <c r="J9" s="28">
        <f t="shared" si="4"/>
        <v>46980</v>
      </c>
      <c r="L9" s="118"/>
      <c r="M9" s="120"/>
      <c r="N9" s="14"/>
      <c r="O9" s="14"/>
      <c r="Q9" s="90" t="s">
        <v>20</v>
      </c>
      <c r="R9" s="92">
        <f>VALUE(料額表!$A$1&amp;料額表!$B$1&amp;"年"&amp;Q9&amp;"1日")</f>
        <v>45901</v>
      </c>
      <c r="S9" s="92">
        <f t="shared" si="0"/>
        <v>45930</v>
      </c>
      <c r="T9" s="90">
        <f t="shared" si="1"/>
        <v>0</v>
      </c>
      <c r="U9" s="90" t="str">
        <f t="shared" si="5"/>
        <v/>
      </c>
      <c r="X9" s="90" t="s">
        <v>20</v>
      </c>
    </row>
    <row r="10" spans="1:24" ht="16.5" customHeight="1" x14ac:dyDescent="0.15">
      <c r="A10" s="27">
        <f>料額表!A9</f>
        <v>5</v>
      </c>
      <c r="B10" s="28">
        <f>料額表!C9</f>
        <v>98000</v>
      </c>
      <c r="C10" s="29">
        <f>IF($B10&lt;料額表!$G$1,VLOOKUP(健康保険料!$B10,料額表!$C$5:$I$54,4,FALSE),VLOOKUP(料額表!$G$1,料額表!$C$5:$I$54,4,FALSE))</f>
        <v>8820</v>
      </c>
      <c r="D10" s="30">
        <f t="shared" si="3"/>
        <v>98000</v>
      </c>
      <c r="E10" s="30">
        <f t="shared" si="4"/>
        <v>8791</v>
      </c>
      <c r="F10" s="32">
        <f t="shared" si="4"/>
        <v>17553</v>
      </c>
      <c r="G10" s="32">
        <f t="shared" si="4"/>
        <v>26287</v>
      </c>
      <c r="H10" s="32">
        <f t="shared" si="4"/>
        <v>34993</v>
      </c>
      <c r="I10" s="43">
        <f t="shared" si="4"/>
        <v>43670</v>
      </c>
      <c r="J10" s="28">
        <f t="shared" si="4"/>
        <v>52318</v>
      </c>
      <c r="K10" s="125" t="str">
        <f>IF(M6=0,"",IF($P$4&lt;料額表!$M$1,"* 前年度の試算はできません！",IF($P$4&gt;料額表!$M$2,"* 次年度分の試算はできません！","* 給与明細等でご確認下さい")))</f>
        <v/>
      </c>
      <c r="L10" s="126"/>
      <c r="M10" s="126"/>
      <c r="N10" s="66"/>
      <c r="O10" s="66"/>
      <c r="Q10" s="90" t="s">
        <v>21</v>
      </c>
      <c r="R10" s="92">
        <f>VALUE(料額表!$A$1&amp;料額表!$B$1&amp;"年"&amp;Q10&amp;"1日")</f>
        <v>45931</v>
      </c>
      <c r="S10" s="92">
        <f t="shared" si="0"/>
        <v>45961</v>
      </c>
      <c r="V10" s="90">
        <f>IF($S10&gt;=$P$4,IF($S9&lt;$P$4,1,0),0)</f>
        <v>0</v>
      </c>
      <c r="W10" s="90" t="str">
        <f>IF(T9=1,1,"")</f>
        <v/>
      </c>
      <c r="X10" s="90" t="s">
        <v>21</v>
      </c>
    </row>
    <row r="11" spans="1:24" ht="16.5" customHeight="1" x14ac:dyDescent="0.15">
      <c r="A11" s="27">
        <f>料額表!A10</f>
        <v>6</v>
      </c>
      <c r="B11" s="28">
        <f>料額表!C10</f>
        <v>104000</v>
      </c>
      <c r="C11" s="29">
        <f>IF($B11&lt;料額表!$G$1,VLOOKUP(健康保険料!$B11,料額表!$C$5:$I$54,4,FALSE),VLOOKUP(料額表!$G$1,料額表!$C$5:$I$54,4,FALSE))</f>
        <v>9360</v>
      </c>
      <c r="D11" s="30">
        <f t="shared" si="3"/>
        <v>104000</v>
      </c>
      <c r="E11" s="30">
        <f t="shared" si="4"/>
        <v>9329</v>
      </c>
      <c r="F11" s="32">
        <f t="shared" si="4"/>
        <v>18628</v>
      </c>
      <c r="G11" s="32">
        <f t="shared" si="4"/>
        <v>27897</v>
      </c>
      <c r="H11" s="32">
        <f t="shared" si="4"/>
        <v>37135</v>
      </c>
      <c r="I11" s="43">
        <f t="shared" si="4"/>
        <v>46343</v>
      </c>
      <c r="J11" s="28">
        <f t="shared" si="4"/>
        <v>55522</v>
      </c>
      <c r="L11" s="124"/>
      <c r="M11" s="124"/>
      <c r="N11" s="62"/>
      <c r="O11" s="62"/>
      <c r="Q11" s="90" t="s">
        <v>22</v>
      </c>
      <c r="R11" s="92">
        <f>VALUE(料額表!$A$1&amp;料額表!$B$1&amp;"年"&amp;Q11&amp;"1日")</f>
        <v>45962</v>
      </c>
      <c r="S11" s="92">
        <f t="shared" si="0"/>
        <v>45991</v>
      </c>
      <c r="V11" s="90">
        <f t="shared" si="1"/>
        <v>0</v>
      </c>
      <c r="W11" s="90" t="str">
        <f>IF(V10=1,1,IF(W10="","",W10+1))</f>
        <v/>
      </c>
      <c r="X11" s="90" t="s">
        <v>22</v>
      </c>
    </row>
    <row r="12" spans="1:24" ht="16.5" customHeight="1" x14ac:dyDescent="0.15">
      <c r="A12" s="27">
        <f>料額表!A11</f>
        <v>7</v>
      </c>
      <c r="B12" s="28">
        <f>料額表!C11</f>
        <v>110000</v>
      </c>
      <c r="C12" s="29">
        <f>IF($B12&lt;料額表!$G$1,VLOOKUP(健康保険料!$B12,料額表!$C$5:$I$54,4,FALSE),VLOOKUP(料額表!$G$1,料額表!$C$5:$I$54,4,FALSE))</f>
        <v>9900</v>
      </c>
      <c r="D12" s="30">
        <f t="shared" si="3"/>
        <v>110000</v>
      </c>
      <c r="E12" s="30">
        <f t="shared" si="4"/>
        <v>9867</v>
      </c>
      <c r="F12" s="32">
        <f t="shared" si="4"/>
        <v>19703</v>
      </c>
      <c r="G12" s="32">
        <f t="shared" si="4"/>
        <v>29506</v>
      </c>
      <c r="H12" s="32">
        <f t="shared" si="4"/>
        <v>39278</v>
      </c>
      <c r="I12" s="43">
        <f t="shared" si="4"/>
        <v>49017</v>
      </c>
      <c r="J12" s="28">
        <f t="shared" si="4"/>
        <v>58725</v>
      </c>
      <c r="L12" s="59"/>
      <c r="M12" s="59"/>
      <c r="N12" s="59"/>
      <c r="O12" s="59"/>
      <c r="Q12" s="90" t="s">
        <v>23</v>
      </c>
      <c r="R12" s="92">
        <f>VALUE(料額表!$A$1&amp;料額表!$B$1&amp;"年"&amp;Q12&amp;"1日")</f>
        <v>45992</v>
      </c>
      <c r="S12" s="92">
        <f t="shared" si="0"/>
        <v>46022</v>
      </c>
      <c r="V12" s="90">
        <f t="shared" si="1"/>
        <v>0</v>
      </c>
      <c r="W12" s="90" t="str">
        <f>IF(V11=1,1,IF(W11="","",W11+1))</f>
        <v/>
      </c>
      <c r="X12" s="90" t="s">
        <v>23</v>
      </c>
    </row>
    <row r="13" spans="1:24" ht="16.5" customHeight="1" thickBot="1" x14ac:dyDescent="0.2">
      <c r="A13" s="27">
        <f>料額表!A12</f>
        <v>8</v>
      </c>
      <c r="B13" s="28">
        <f>料額表!C12</f>
        <v>118000</v>
      </c>
      <c r="C13" s="29">
        <f>IF($B13&lt;料額表!$G$1,VLOOKUP(健康保険料!$B13,料額表!$C$5:$I$54,4,FALSE),VLOOKUP(料額表!$G$1,料額表!$C$5:$I$54,4,FALSE))</f>
        <v>10620</v>
      </c>
      <c r="D13" s="30">
        <f t="shared" si="3"/>
        <v>118000</v>
      </c>
      <c r="E13" s="30">
        <f t="shared" si="4"/>
        <v>10585</v>
      </c>
      <c r="F13" s="32">
        <f t="shared" si="4"/>
        <v>21136</v>
      </c>
      <c r="G13" s="32">
        <f t="shared" si="4"/>
        <v>31652</v>
      </c>
      <c r="H13" s="32">
        <f t="shared" si="4"/>
        <v>42134</v>
      </c>
      <c r="I13" s="43">
        <f t="shared" si="4"/>
        <v>52582</v>
      </c>
      <c r="J13" s="28">
        <f t="shared" si="4"/>
        <v>62996</v>
      </c>
      <c r="L13" s="107" t="s">
        <v>49</v>
      </c>
      <c r="M13" s="107"/>
      <c r="N13" s="36"/>
      <c r="O13" s="36"/>
      <c r="Q13" s="90" t="s">
        <v>24</v>
      </c>
      <c r="R13" s="92">
        <f>VALUE(料額表!$A$1&amp;料額表!$B$1+1&amp;"年"&amp;Q13&amp;"1日")</f>
        <v>46023</v>
      </c>
      <c r="S13" s="92">
        <f t="shared" si="0"/>
        <v>46053</v>
      </c>
      <c r="V13" s="90">
        <f t="shared" si="1"/>
        <v>0</v>
      </c>
      <c r="W13" s="90" t="str">
        <f t="shared" ref="W13:W15" si="6">IF(V12=1,1,IF(W12="","",W12+1))</f>
        <v/>
      </c>
      <c r="X13" s="90" t="s">
        <v>24</v>
      </c>
    </row>
    <row r="14" spans="1:24" ht="16.5" customHeight="1" x14ac:dyDescent="0.15">
      <c r="A14" s="27">
        <f>料額表!A13</f>
        <v>9</v>
      </c>
      <c r="B14" s="28">
        <f>料額表!C13</f>
        <v>126000</v>
      </c>
      <c r="C14" s="29">
        <f>IF($B14&lt;料額表!$G$1,VLOOKUP(健康保険料!$B14,料額表!$C$5:$I$54,4,FALSE),VLOOKUP(料額表!$G$1,料額表!$C$5:$I$54,4,FALSE))</f>
        <v>11340</v>
      </c>
      <c r="D14" s="30">
        <f t="shared" si="3"/>
        <v>126000</v>
      </c>
      <c r="E14" s="30">
        <f t="shared" si="4"/>
        <v>11302</v>
      </c>
      <c r="F14" s="32">
        <f t="shared" si="4"/>
        <v>22569</v>
      </c>
      <c r="G14" s="32">
        <f t="shared" si="4"/>
        <v>33798</v>
      </c>
      <c r="H14" s="32">
        <f t="shared" si="4"/>
        <v>44991</v>
      </c>
      <c r="I14" s="43">
        <f t="shared" si="4"/>
        <v>56147</v>
      </c>
      <c r="J14" s="28">
        <f t="shared" si="4"/>
        <v>67267</v>
      </c>
      <c r="L14" s="53" t="s">
        <v>35</v>
      </c>
      <c r="M14" s="99" t="str">
        <f>IF($M$6*$M$8=0,"",IF($P$4&lt;料額表!$M$1,"期間指定エラー",IF($P$4&gt;料額表!$M$2,"期間指定エラー",IF($P$6&gt;0,VLOOKUP($P$6,$B$6:$C$40,2,FALSE)))))</f>
        <v/>
      </c>
      <c r="N14" s="59"/>
      <c r="O14" s="59"/>
      <c r="Q14" s="90" t="s">
        <v>25</v>
      </c>
      <c r="R14" s="92">
        <f>VALUE(料額表!$A$1&amp;料額表!$B$1+1&amp;"年"&amp;Q14&amp;"1日")</f>
        <v>46054</v>
      </c>
      <c r="S14" s="92">
        <f t="shared" si="0"/>
        <v>46081</v>
      </c>
      <c r="V14" s="90">
        <f t="shared" si="1"/>
        <v>0</v>
      </c>
      <c r="W14" s="90" t="str">
        <f t="shared" si="6"/>
        <v/>
      </c>
      <c r="X14" s="90" t="s">
        <v>25</v>
      </c>
    </row>
    <row r="15" spans="1:24" ht="16.5" customHeight="1" x14ac:dyDescent="0.15">
      <c r="A15" s="27">
        <f>料額表!A14</f>
        <v>10</v>
      </c>
      <c r="B15" s="28">
        <f>料額表!C14</f>
        <v>134000</v>
      </c>
      <c r="C15" s="29">
        <f>IF($B15&lt;料額表!$G$1,VLOOKUP(健康保険料!$B15,料額表!$C$5:$I$54,4,FALSE),VLOOKUP(料額表!$G$1,料額表!$C$5:$I$54,4,FALSE))</f>
        <v>12060</v>
      </c>
      <c r="D15" s="30">
        <f t="shared" si="3"/>
        <v>134000</v>
      </c>
      <c r="E15" s="30">
        <f t="shared" si="4"/>
        <v>12020</v>
      </c>
      <c r="F15" s="32">
        <f t="shared" si="4"/>
        <v>24002</v>
      </c>
      <c r="G15" s="32">
        <f t="shared" si="4"/>
        <v>35944</v>
      </c>
      <c r="H15" s="32">
        <f t="shared" si="4"/>
        <v>47847</v>
      </c>
      <c r="I15" s="43">
        <f t="shared" si="4"/>
        <v>59712</v>
      </c>
      <c r="J15" s="28">
        <f t="shared" si="4"/>
        <v>71538</v>
      </c>
      <c r="L15" s="84" t="str">
        <f>"("&amp;IF(T16=1,VLOOKUP(1,T4:X9,5,FALSE),IF(V16=1,VLOOKUP(1,V10:X15,3,FALSE),""))&amp;"分)"</f>
        <v>(分)</v>
      </c>
      <c r="M15" s="100"/>
      <c r="N15" s="59"/>
      <c r="O15" s="59"/>
      <c r="Q15" s="90" t="s">
        <v>26</v>
      </c>
      <c r="R15" s="92">
        <f>VALUE(料額表!$A$1&amp;料額表!$B$1+1&amp;"年"&amp;Q15&amp;"1日")</f>
        <v>46082</v>
      </c>
      <c r="S15" s="92">
        <f t="shared" si="0"/>
        <v>46112</v>
      </c>
      <c r="V15" s="90">
        <f t="shared" si="1"/>
        <v>0</v>
      </c>
      <c r="W15" s="90" t="str">
        <f t="shared" si="6"/>
        <v/>
      </c>
      <c r="X15" s="90" t="s">
        <v>26</v>
      </c>
    </row>
    <row r="16" spans="1:24" ht="16.5" customHeight="1" x14ac:dyDescent="0.15">
      <c r="A16" s="27">
        <f>料額表!A15</f>
        <v>11</v>
      </c>
      <c r="B16" s="28">
        <f>料額表!C15</f>
        <v>142000</v>
      </c>
      <c r="C16" s="29">
        <f>IF($B16&lt;料額表!$G$1,VLOOKUP(健康保険料!$B16,料額表!$C$5:$I$54,4,FALSE),VLOOKUP(料額表!$G$1,料額表!$C$5:$I$54,4,FALSE))</f>
        <v>12780</v>
      </c>
      <c r="D16" s="30">
        <f t="shared" si="3"/>
        <v>142000</v>
      </c>
      <c r="E16" s="30">
        <f t="shared" si="4"/>
        <v>12738</v>
      </c>
      <c r="F16" s="32">
        <f t="shared" si="4"/>
        <v>25435</v>
      </c>
      <c r="G16" s="32">
        <f t="shared" si="4"/>
        <v>38090</v>
      </c>
      <c r="H16" s="32">
        <f t="shared" si="4"/>
        <v>50704</v>
      </c>
      <c r="I16" s="43">
        <f t="shared" si="4"/>
        <v>63277</v>
      </c>
      <c r="J16" s="28">
        <f t="shared" si="4"/>
        <v>75809</v>
      </c>
      <c r="L16" s="85" t="s">
        <v>40</v>
      </c>
      <c r="M16" s="101" t="str">
        <f>IF($U$16&gt;0,VLOOKUP($P$6,$D$5:$J$40,MATCH($U$16,$D$5:$J$5,0),FALSE),IF($W$16&gt;0,VLOOKUP($P$6,$D$5:$J$40,MATCH($W$16,$D$5:$J$5,0),FALSE),IF($P$5=3,VLOOKUP($P$6,$D$5:$J$40,7,FALSE),"")))</f>
        <v/>
      </c>
      <c r="N16" s="59"/>
      <c r="O16" s="59"/>
      <c r="T16" s="90">
        <f>COUNTIF(T4:T15,"&gt;0")</f>
        <v>0</v>
      </c>
      <c r="U16" s="90">
        <f t="shared" ref="U16:W16" si="7">COUNTIF(U4:U15,"&gt;0")</f>
        <v>0</v>
      </c>
      <c r="V16" s="90">
        <f t="shared" si="7"/>
        <v>0</v>
      </c>
      <c r="W16" s="90">
        <f t="shared" si="7"/>
        <v>0</v>
      </c>
    </row>
    <row r="17" spans="1:23" ht="16.5" customHeight="1" x14ac:dyDescent="0.15">
      <c r="A17" s="27">
        <f>料額表!A16</f>
        <v>12</v>
      </c>
      <c r="B17" s="28">
        <f>料額表!C16</f>
        <v>150000</v>
      </c>
      <c r="C17" s="29">
        <f>IF($B17&lt;料額表!$G$1,VLOOKUP(健康保険料!$B17,料額表!$C$5:$I$54,4,FALSE),VLOOKUP(料額表!$G$1,料額表!$C$5:$I$54,4,FALSE))</f>
        <v>13500</v>
      </c>
      <c r="D17" s="30">
        <f t="shared" si="3"/>
        <v>150000</v>
      </c>
      <c r="E17" s="30">
        <f t="shared" si="4"/>
        <v>13455</v>
      </c>
      <c r="F17" s="32">
        <f t="shared" si="4"/>
        <v>26867</v>
      </c>
      <c r="G17" s="32">
        <f t="shared" si="4"/>
        <v>40236</v>
      </c>
      <c r="H17" s="32">
        <f t="shared" si="4"/>
        <v>53560</v>
      </c>
      <c r="I17" s="43">
        <f t="shared" si="4"/>
        <v>66842</v>
      </c>
      <c r="J17" s="28">
        <f t="shared" si="4"/>
        <v>80079</v>
      </c>
      <c r="L17" s="84" t="str">
        <f>IF(U17&lt;&gt;"","("&amp;U17&amp;"-"&amp;U18&amp;"分)","("&amp;W17&amp;"-"&amp;W18&amp;"分)")</f>
        <v>(-分)</v>
      </c>
      <c r="M17" s="100"/>
      <c r="N17" s="59"/>
      <c r="O17" s="59"/>
      <c r="U17" s="91" t="str">
        <f>IF(U$16&gt;0,VLOOKUP(MIN(U$5:U$9),U$5:X$9,4,FALSE),"")</f>
        <v/>
      </c>
      <c r="W17" s="91" t="str">
        <f>IF(W$16&gt;0,VLOOKUP(MIN(W$10:W$15),W$10:X$15,2,FALSE),IF($V$15=1,"4月",""))</f>
        <v/>
      </c>
    </row>
    <row r="18" spans="1:23" ht="16.5" customHeight="1" x14ac:dyDescent="0.15">
      <c r="A18" s="27">
        <f>料額表!A17</f>
        <v>13</v>
      </c>
      <c r="B18" s="28">
        <f>料額表!C17</f>
        <v>160000</v>
      </c>
      <c r="C18" s="29">
        <f>IF($B18&lt;料額表!$G$1,VLOOKUP(健康保険料!$B18,料額表!$C$5:$I$54,4,FALSE),VLOOKUP(料額表!$G$1,料額表!$C$5:$I$54,4,FALSE))</f>
        <v>14400</v>
      </c>
      <c r="D18" s="30">
        <f t="shared" si="3"/>
        <v>160000</v>
      </c>
      <c r="E18" s="30">
        <f t="shared" si="4"/>
        <v>14353</v>
      </c>
      <c r="F18" s="32">
        <f t="shared" si="4"/>
        <v>28659</v>
      </c>
      <c r="G18" s="32">
        <f t="shared" si="4"/>
        <v>42918</v>
      </c>
      <c r="H18" s="32">
        <f t="shared" si="4"/>
        <v>57131</v>
      </c>
      <c r="I18" s="43">
        <f t="shared" si="4"/>
        <v>71298</v>
      </c>
      <c r="J18" s="28">
        <f t="shared" si="4"/>
        <v>85418</v>
      </c>
      <c r="L18" s="104" t="s">
        <v>41</v>
      </c>
      <c r="M18" s="102" t="str">
        <f>IF($M$14="","",$M$16+$M$14)</f>
        <v/>
      </c>
      <c r="N18" s="59"/>
      <c r="O18" s="59"/>
      <c r="U18" s="91" t="str">
        <f>IF(U$16&gt;0,VLOOKUP(MAX(U$5:U$9),U$5:X$9,4,FALSE),"")</f>
        <v/>
      </c>
      <c r="W18" s="91" t="str">
        <f>IF(W$16&gt;0,VLOOKUP(MAX(W$10:W$15),W$10:X$15,2,FALSE),IF($V$15=1,"9月",""))</f>
        <v/>
      </c>
    </row>
    <row r="19" spans="1:23" ht="16.5" customHeight="1" thickBot="1" x14ac:dyDescent="0.2">
      <c r="A19" s="27">
        <f>料額表!A18</f>
        <v>14</v>
      </c>
      <c r="B19" s="28">
        <f>料額表!C18</f>
        <v>170000</v>
      </c>
      <c r="C19" s="29">
        <f>IF($B19&lt;料額表!$G$1,VLOOKUP(健康保険料!$B19,料額表!$C$5:$I$54,4,FALSE),VLOOKUP(料額表!$G$1,料額表!$C$5:$I$54,4,FALSE))</f>
        <v>15300</v>
      </c>
      <c r="D19" s="30">
        <f t="shared" si="3"/>
        <v>170000</v>
      </c>
      <c r="E19" s="30">
        <f t="shared" si="4"/>
        <v>15250</v>
      </c>
      <c r="F19" s="32">
        <f t="shared" si="4"/>
        <v>30450</v>
      </c>
      <c r="G19" s="32">
        <f t="shared" si="4"/>
        <v>45601</v>
      </c>
      <c r="H19" s="32">
        <f t="shared" si="4"/>
        <v>60702</v>
      </c>
      <c r="I19" s="43">
        <f t="shared" si="4"/>
        <v>75754</v>
      </c>
      <c r="J19" s="28">
        <f t="shared" si="4"/>
        <v>90757</v>
      </c>
      <c r="L19" s="105"/>
      <c r="M19" s="103"/>
      <c r="N19" s="59"/>
      <c r="O19" s="59"/>
    </row>
    <row r="20" spans="1:23" ht="16.5" customHeight="1" x14ac:dyDescent="0.15">
      <c r="A20" s="27">
        <f>料額表!A19</f>
        <v>15</v>
      </c>
      <c r="B20" s="28">
        <f>料額表!C19</f>
        <v>180000</v>
      </c>
      <c r="C20" s="29">
        <f>IF($B20&lt;料額表!$G$1,VLOOKUP(健康保険料!$B20,料額表!$C$5:$I$54,4,FALSE),VLOOKUP(料額表!$G$1,料額表!$C$5:$I$54,4,FALSE))</f>
        <v>16200</v>
      </c>
      <c r="D20" s="30">
        <f t="shared" si="3"/>
        <v>180000</v>
      </c>
      <c r="E20" s="30">
        <f t="shared" si="4"/>
        <v>16147</v>
      </c>
      <c r="F20" s="32">
        <f t="shared" si="4"/>
        <v>32241</v>
      </c>
      <c r="G20" s="32">
        <f t="shared" si="4"/>
        <v>48283</v>
      </c>
      <c r="H20" s="32">
        <f t="shared" si="4"/>
        <v>64273</v>
      </c>
      <c r="I20" s="43">
        <f t="shared" si="4"/>
        <v>80210</v>
      </c>
      <c r="J20" s="28">
        <f t="shared" si="4"/>
        <v>96095</v>
      </c>
    </row>
    <row r="21" spans="1:23" ht="16.5" customHeight="1" thickBot="1" x14ac:dyDescent="0.2">
      <c r="A21" s="27">
        <f>料額表!A20</f>
        <v>16</v>
      </c>
      <c r="B21" s="28">
        <f>料額表!C20</f>
        <v>190000</v>
      </c>
      <c r="C21" s="29">
        <f>IF($B21&lt;料額表!$G$1,VLOOKUP(健康保険料!$B21,料額表!$C$5:$I$54,4,FALSE),VLOOKUP(料額表!$G$1,料額表!$C$5:$I$54,4,FALSE))</f>
        <v>17100</v>
      </c>
      <c r="D21" s="30">
        <f t="shared" si="3"/>
        <v>190000</v>
      </c>
      <c r="E21" s="30">
        <f t="shared" si="4"/>
        <v>17044</v>
      </c>
      <c r="F21" s="32">
        <f t="shared" si="4"/>
        <v>34032</v>
      </c>
      <c r="G21" s="32">
        <f t="shared" si="4"/>
        <v>50965</v>
      </c>
      <c r="H21" s="32">
        <f t="shared" si="4"/>
        <v>67843</v>
      </c>
      <c r="I21" s="43">
        <f t="shared" si="4"/>
        <v>84666</v>
      </c>
      <c r="J21" s="28">
        <f t="shared" si="4"/>
        <v>101434</v>
      </c>
      <c r="L21" s="107" t="s">
        <v>48</v>
      </c>
      <c r="M21" s="107"/>
      <c r="N21" s="36"/>
      <c r="O21" s="36"/>
    </row>
    <row r="22" spans="1:23" ht="16.5" customHeight="1" x14ac:dyDescent="0.15">
      <c r="A22" s="27">
        <f>料額表!A21</f>
        <v>17</v>
      </c>
      <c r="B22" s="28">
        <f>料額表!C21</f>
        <v>200000</v>
      </c>
      <c r="C22" s="29">
        <f>IF($B22&lt;料額表!$G$1,VLOOKUP(健康保険料!$B22,料額表!$C$5:$I$54,4,FALSE),VLOOKUP(料額表!$G$1,料額表!$C$5:$I$54,4,FALSE))</f>
        <v>18000</v>
      </c>
      <c r="D22" s="30">
        <f t="shared" si="3"/>
        <v>200000</v>
      </c>
      <c r="E22" s="30">
        <f t="shared" si="4"/>
        <v>17941</v>
      </c>
      <c r="F22" s="32">
        <f t="shared" si="4"/>
        <v>35823</v>
      </c>
      <c r="G22" s="32">
        <f t="shared" si="4"/>
        <v>53648</v>
      </c>
      <c r="H22" s="32">
        <f t="shared" si="4"/>
        <v>71414</v>
      </c>
      <c r="I22" s="43">
        <f t="shared" si="4"/>
        <v>89122</v>
      </c>
      <c r="J22" s="28">
        <f t="shared" si="4"/>
        <v>106773</v>
      </c>
      <c r="L22" s="53" t="str">
        <f>L14</f>
        <v>初月分</v>
      </c>
      <c r="M22" s="99" t="str">
        <f>IF($M$14="","",$M$14+介護保険料!$M$14)</f>
        <v/>
      </c>
      <c r="N22" s="59"/>
      <c r="O22" s="59"/>
    </row>
    <row r="23" spans="1:23" ht="16.5" customHeight="1" x14ac:dyDescent="0.15">
      <c r="A23" s="27">
        <f>料額表!A22</f>
        <v>18</v>
      </c>
      <c r="B23" s="28">
        <f>料額表!C22</f>
        <v>220000</v>
      </c>
      <c r="C23" s="29">
        <f>IF($B23&lt;料額表!$G$1,VLOOKUP(健康保険料!$B23,料額表!$C$5:$I$54,4,FALSE),VLOOKUP(料額表!$G$1,料額表!$C$5:$I$54,4,FALSE))</f>
        <v>19800</v>
      </c>
      <c r="D23" s="30">
        <f t="shared" si="3"/>
        <v>220000</v>
      </c>
      <c r="E23" s="30">
        <f t="shared" si="4"/>
        <v>19735</v>
      </c>
      <c r="F23" s="32">
        <f t="shared" si="4"/>
        <v>39406</v>
      </c>
      <c r="G23" s="32">
        <f t="shared" si="4"/>
        <v>59013</v>
      </c>
      <c r="H23" s="32">
        <f t="shared" si="4"/>
        <v>78556</v>
      </c>
      <c r="I23" s="43">
        <f t="shared" si="4"/>
        <v>98035</v>
      </c>
      <c r="J23" s="28">
        <f t="shared" si="4"/>
        <v>117450</v>
      </c>
      <c r="L23" s="84" t="str">
        <f>L15</f>
        <v>(分)</v>
      </c>
      <c r="M23" s="100"/>
      <c r="N23" s="59"/>
      <c r="O23" s="59"/>
    </row>
    <row r="24" spans="1:23" ht="16.5" customHeight="1" x14ac:dyDescent="0.15">
      <c r="A24" s="27">
        <f>料額表!A23</f>
        <v>19</v>
      </c>
      <c r="B24" s="28">
        <f>料額表!C23</f>
        <v>240000</v>
      </c>
      <c r="C24" s="29">
        <f>IF($B24&lt;料額表!$G$1,VLOOKUP(健康保険料!$B24,料額表!$C$5:$I$54,4,FALSE),VLOOKUP(料額表!$G$1,料額表!$C$5:$I$54,4,FALSE))</f>
        <v>21600</v>
      </c>
      <c r="D24" s="30">
        <f t="shared" si="3"/>
        <v>240000</v>
      </c>
      <c r="E24" s="30">
        <f t="shared" si="4"/>
        <v>21529</v>
      </c>
      <c r="F24" s="32">
        <f t="shared" si="4"/>
        <v>42988</v>
      </c>
      <c r="G24" s="32">
        <f t="shared" si="4"/>
        <v>64378</v>
      </c>
      <c r="H24" s="32">
        <f t="shared" si="4"/>
        <v>85697</v>
      </c>
      <c r="I24" s="43">
        <f t="shared" si="4"/>
        <v>106947</v>
      </c>
      <c r="J24" s="28">
        <f t="shared" si="4"/>
        <v>128127</v>
      </c>
      <c r="L24" s="85" t="str">
        <f>L16</f>
        <v>前納分</v>
      </c>
      <c r="M24" s="101" t="str">
        <f>IF($M$16="","",$M$16+介護保険料!$M$16)</f>
        <v/>
      </c>
      <c r="N24" s="59"/>
      <c r="O24" s="59"/>
    </row>
    <row r="25" spans="1:23" ht="16.5" customHeight="1" x14ac:dyDescent="0.15">
      <c r="A25" s="27">
        <f>料額表!A24</f>
        <v>20</v>
      </c>
      <c r="B25" s="28">
        <f>料額表!C24</f>
        <v>260000</v>
      </c>
      <c r="C25" s="29">
        <f>IF($B25&lt;料額表!$G$1,VLOOKUP(健康保険料!$B25,料額表!$C$5:$I$54,4,FALSE),VLOOKUP(料額表!$G$1,料額表!$C$5:$I$54,4,FALSE))</f>
        <v>23400</v>
      </c>
      <c r="D25" s="30">
        <f t="shared" si="3"/>
        <v>260000</v>
      </c>
      <c r="E25" s="30">
        <f t="shared" si="4"/>
        <v>23323</v>
      </c>
      <c r="F25" s="32">
        <f t="shared" si="4"/>
        <v>46571</v>
      </c>
      <c r="G25" s="32">
        <f t="shared" si="4"/>
        <v>69742</v>
      </c>
      <c r="H25" s="32">
        <f t="shared" si="4"/>
        <v>92838</v>
      </c>
      <c r="I25" s="43">
        <f t="shared" si="4"/>
        <v>115859</v>
      </c>
      <c r="J25" s="28">
        <f t="shared" si="4"/>
        <v>138805</v>
      </c>
      <c r="L25" s="84" t="str">
        <f>L17</f>
        <v>(-分)</v>
      </c>
      <c r="M25" s="100"/>
      <c r="N25" s="59"/>
      <c r="O25" s="59"/>
    </row>
    <row r="26" spans="1:23" ht="16.5" customHeight="1" x14ac:dyDescent="0.15">
      <c r="A26" s="27">
        <f>料額表!A25</f>
        <v>21</v>
      </c>
      <c r="B26" s="28">
        <f>料額表!C25</f>
        <v>280000</v>
      </c>
      <c r="C26" s="29">
        <f>IF($B26&lt;料額表!$G$1,VLOOKUP(健康保険料!$B26,料額表!$C$5:$I$54,4,FALSE),VLOOKUP(料額表!$G$1,料額表!$C$5:$I$54,4,FALSE))</f>
        <v>25200</v>
      </c>
      <c r="D26" s="30">
        <f t="shared" si="3"/>
        <v>280000</v>
      </c>
      <c r="E26" s="30">
        <f t="shared" si="4"/>
        <v>25117</v>
      </c>
      <c r="F26" s="32">
        <f t="shared" si="4"/>
        <v>50153</v>
      </c>
      <c r="G26" s="32">
        <f t="shared" si="4"/>
        <v>75107</v>
      </c>
      <c r="H26" s="32">
        <f t="shared" si="4"/>
        <v>99980</v>
      </c>
      <c r="I26" s="43">
        <f t="shared" si="4"/>
        <v>124771</v>
      </c>
      <c r="J26" s="28">
        <f t="shared" si="4"/>
        <v>149482</v>
      </c>
      <c r="L26" s="104" t="str">
        <f t="shared" ref="L26:L27" si="8">L18</f>
        <v>合計</v>
      </c>
      <c r="M26" s="102" t="str">
        <f>IF($M$24="","",$M$24+$M$22)</f>
        <v/>
      </c>
      <c r="N26" s="59"/>
      <c r="O26" s="59"/>
    </row>
    <row r="27" spans="1:23" ht="16.5" customHeight="1" thickBot="1" x14ac:dyDescent="0.2">
      <c r="A27" s="27">
        <f>料額表!A26</f>
        <v>22</v>
      </c>
      <c r="B27" s="28">
        <f>料額表!C26</f>
        <v>300000</v>
      </c>
      <c r="C27" s="29">
        <f>IF($B27&lt;料額表!$G$1,VLOOKUP(健康保険料!$B27,料額表!$C$5:$I$54,4,FALSE),VLOOKUP(料額表!$G$1,料額表!$C$5:$I$54,4,FALSE))</f>
        <v>27000</v>
      </c>
      <c r="D27" s="30">
        <f t="shared" si="3"/>
        <v>300000</v>
      </c>
      <c r="E27" s="30">
        <f t="shared" si="4"/>
        <v>26911</v>
      </c>
      <c r="F27" s="32">
        <f t="shared" si="4"/>
        <v>53735</v>
      </c>
      <c r="G27" s="32">
        <f t="shared" si="4"/>
        <v>80472</v>
      </c>
      <c r="H27" s="32">
        <f t="shared" si="4"/>
        <v>107121</v>
      </c>
      <c r="I27" s="43">
        <f t="shared" si="4"/>
        <v>133684</v>
      </c>
      <c r="J27" s="28">
        <f t="shared" si="4"/>
        <v>160159</v>
      </c>
      <c r="L27" s="105">
        <f t="shared" si="8"/>
        <v>0</v>
      </c>
      <c r="M27" s="103"/>
      <c r="N27" s="59"/>
      <c r="O27" s="59"/>
    </row>
    <row r="28" spans="1:23" ht="16.5" customHeight="1" x14ac:dyDescent="0.15">
      <c r="A28" s="27">
        <f>料額表!A27</f>
        <v>23</v>
      </c>
      <c r="B28" s="28">
        <f>料額表!C27</f>
        <v>320000</v>
      </c>
      <c r="C28" s="29">
        <f>IF($B28&lt;料額表!$G$1,VLOOKUP(健康保険料!$B28,料額表!$C$5:$I$54,4,FALSE),VLOOKUP(料額表!$G$1,料額表!$C$5:$I$54,4,FALSE))</f>
        <v>28800</v>
      </c>
      <c r="D28" s="30">
        <f t="shared" si="3"/>
        <v>320000</v>
      </c>
      <c r="E28" s="30">
        <f t="shared" si="4"/>
        <v>28706</v>
      </c>
      <c r="F28" s="32">
        <f t="shared" si="4"/>
        <v>57318</v>
      </c>
      <c r="G28" s="32">
        <f t="shared" si="4"/>
        <v>85837</v>
      </c>
      <c r="H28" s="32">
        <f t="shared" si="4"/>
        <v>114263</v>
      </c>
      <c r="I28" s="43">
        <f t="shared" si="4"/>
        <v>142596</v>
      </c>
      <c r="J28" s="28">
        <f t="shared" si="4"/>
        <v>170837</v>
      </c>
    </row>
    <row r="29" spans="1:23" ht="16.5" customHeight="1" x14ac:dyDescent="0.15">
      <c r="A29" s="27">
        <f>料額表!A28</f>
        <v>24</v>
      </c>
      <c r="B29" s="28">
        <f>料額表!C28</f>
        <v>340000</v>
      </c>
      <c r="C29" s="29">
        <f>IF($B29&lt;料額表!$G$1,VLOOKUP(健康保険料!$B29,料額表!$C$5:$I$54,4,FALSE),VLOOKUP(料額表!$G$1,料額表!$C$5:$I$54,4,FALSE))</f>
        <v>30600</v>
      </c>
      <c r="D29" s="30">
        <f t="shared" si="3"/>
        <v>340000</v>
      </c>
      <c r="E29" s="30">
        <f t="shared" si="4"/>
        <v>30500</v>
      </c>
      <c r="F29" s="32">
        <f t="shared" si="4"/>
        <v>60900</v>
      </c>
      <c r="G29" s="32">
        <f t="shared" si="4"/>
        <v>91202</v>
      </c>
      <c r="H29" s="32">
        <f t="shared" si="4"/>
        <v>121404</v>
      </c>
      <c r="I29" s="43">
        <f t="shared" si="4"/>
        <v>151508</v>
      </c>
      <c r="J29" s="28">
        <f t="shared" si="4"/>
        <v>181514</v>
      </c>
      <c r="L29" s="106" t="s">
        <v>45</v>
      </c>
      <c r="M29" s="106"/>
      <c r="N29" s="65"/>
      <c r="O29" s="65"/>
    </row>
    <row r="30" spans="1:23" ht="16.5" customHeight="1" x14ac:dyDescent="0.15">
      <c r="A30" s="27">
        <f>料額表!A29</f>
        <v>25</v>
      </c>
      <c r="B30" s="28">
        <f>料額表!C29</f>
        <v>360000</v>
      </c>
      <c r="C30" s="29">
        <f>IF($B30&lt;料額表!$G$1,VLOOKUP(健康保険料!$B30,料額表!$C$5:$I$54,4,FALSE),VLOOKUP(料額表!$G$1,料額表!$C$5:$I$54,4,FALSE))</f>
        <v>32400</v>
      </c>
      <c r="D30" s="30">
        <f t="shared" si="3"/>
        <v>360000</v>
      </c>
      <c r="E30" s="30">
        <f t="shared" si="4"/>
        <v>32294</v>
      </c>
      <c r="F30" s="32">
        <f t="shared" si="4"/>
        <v>64483</v>
      </c>
      <c r="G30" s="32">
        <f t="shared" si="4"/>
        <v>96567</v>
      </c>
      <c r="H30" s="32">
        <f t="shared" si="4"/>
        <v>128546</v>
      </c>
      <c r="I30" s="43">
        <f t="shared" si="4"/>
        <v>160421</v>
      </c>
      <c r="J30" s="28">
        <f t="shared" si="4"/>
        <v>192191</v>
      </c>
      <c r="L30" s="106"/>
      <c r="M30" s="106"/>
      <c r="N30" s="65"/>
      <c r="O30" s="65"/>
    </row>
    <row r="31" spans="1:23" ht="16.5" customHeight="1" x14ac:dyDescent="0.15">
      <c r="A31" s="27">
        <f>料額表!A30</f>
        <v>26</v>
      </c>
      <c r="B31" s="28">
        <f>料額表!C30</f>
        <v>380000</v>
      </c>
      <c r="C31" s="29">
        <f>IF($B31&lt;料額表!$G$1,VLOOKUP(健康保険料!$B31,料額表!$C$5:$I$54,4,FALSE),VLOOKUP(料額表!$G$1,料額表!$C$5:$I$54,4,FALSE))</f>
        <v>34200</v>
      </c>
      <c r="D31" s="30">
        <f t="shared" si="3"/>
        <v>380000</v>
      </c>
      <c r="E31" s="30">
        <f t="shared" si="4"/>
        <v>34088</v>
      </c>
      <c r="F31" s="32">
        <f t="shared" si="4"/>
        <v>68065</v>
      </c>
      <c r="G31" s="32">
        <f t="shared" si="4"/>
        <v>101931</v>
      </c>
      <c r="H31" s="32">
        <f t="shared" si="4"/>
        <v>135687</v>
      </c>
      <c r="I31" s="43">
        <f t="shared" si="4"/>
        <v>169333</v>
      </c>
      <c r="J31" s="28">
        <f t="shared" si="4"/>
        <v>202869</v>
      </c>
      <c r="L31" s="106"/>
      <c r="M31" s="106"/>
      <c r="N31" s="65"/>
      <c r="O31" s="65"/>
    </row>
    <row r="32" spans="1:23" ht="16.5" customHeight="1" x14ac:dyDescent="0.15">
      <c r="A32" s="27">
        <f>IF(B32&gt;0,A31+1,"")</f>
        <v>27</v>
      </c>
      <c r="B32" s="28">
        <f>IF(料額表!$C31&lt;=料額表!$G$1,料額表!$C31,"")</f>
        <v>410000</v>
      </c>
      <c r="C32" s="29">
        <f>IF($B32&lt;料額表!$G$1,VLOOKUP(健康保険料!$B32,料額表!$C$5:$I$54,4,FALSE),VLOOKUP(料額表!$G$1,料額表!$C$5:$I$54,4,FALSE))</f>
        <v>36900</v>
      </c>
      <c r="D32" s="30">
        <f t="shared" si="3"/>
        <v>410000</v>
      </c>
      <c r="E32" s="30">
        <f t="shared" si="4"/>
        <v>36779</v>
      </c>
      <c r="F32" s="32">
        <f t="shared" si="4"/>
        <v>73439</v>
      </c>
      <c r="G32" s="32">
        <f t="shared" si="4"/>
        <v>109979</v>
      </c>
      <c r="H32" s="32">
        <f t="shared" si="4"/>
        <v>146399</v>
      </c>
      <c r="I32" s="43">
        <f t="shared" si="4"/>
        <v>182701</v>
      </c>
      <c r="J32" s="28">
        <f t="shared" si="4"/>
        <v>218885</v>
      </c>
      <c r="L32" s="106"/>
      <c r="M32" s="106"/>
      <c r="N32" s="65"/>
      <c r="O32" s="65"/>
    </row>
    <row r="33" spans="1:15" ht="16.5" customHeight="1" x14ac:dyDescent="0.15">
      <c r="A33" s="27">
        <f t="shared" ref="A33:A40" si="9">IF(B33&gt;0,A32+1,"")</f>
        <v>28</v>
      </c>
      <c r="B33" s="28">
        <f>IF(料額表!$C32&lt;=料額表!$G$1,料額表!$C32,"")</f>
        <v>440000</v>
      </c>
      <c r="C33" s="29">
        <f>IF($B33&lt;料額表!$G$1,VLOOKUP(健康保険料!$B33,料額表!$C$5:$I$54,4,FALSE),VLOOKUP(料額表!$G$1,料額表!$C$5:$I$54,4,FALSE))</f>
        <v>39600</v>
      </c>
      <c r="D33" s="30">
        <f t="shared" si="3"/>
        <v>440000</v>
      </c>
      <c r="E33" s="30">
        <f t="shared" si="4"/>
        <v>39470</v>
      </c>
      <c r="F33" s="32">
        <f t="shared" si="4"/>
        <v>78812</v>
      </c>
      <c r="G33" s="32">
        <f t="shared" si="4"/>
        <v>118026</v>
      </c>
      <c r="H33" s="32">
        <f t="shared" si="4"/>
        <v>157112</v>
      </c>
      <c r="I33" s="43">
        <f t="shared" si="4"/>
        <v>196070</v>
      </c>
      <c r="J33" s="28">
        <f t="shared" si="4"/>
        <v>234901</v>
      </c>
      <c r="L33" s="106"/>
      <c r="M33" s="106"/>
      <c r="N33" s="65"/>
      <c r="O33" s="65"/>
    </row>
    <row r="34" spans="1:15" ht="16.5" customHeight="1" x14ac:dyDescent="0.15">
      <c r="A34" s="27">
        <f t="shared" si="9"/>
        <v>29</v>
      </c>
      <c r="B34" s="28">
        <f>IF(料額表!$C33&lt;=料額表!$G$1,料額表!$C33,"")</f>
        <v>470000</v>
      </c>
      <c r="C34" s="29">
        <f>IF($B34&lt;料額表!$G$1,VLOOKUP(健康保険料!$B34,料額表!$C$5:$I$54,4,FALSE),VLOOKUP(料額表!$G$1,料額表!$C$5:$I$54,4,FALSE))</f>
        <v>42300</v>
      </c>
      <c r="D34" s="30">
        <f t="shared" si="3"/>
        <v>470000</v>
      </c>
      <c r="E34" s="30">
        <f t="shared" si="4"/>
        <v>42161</v>
      </c>
      <c r="F34" s="32">
        <f t="shared" si="4"/>
        <v>84186</v>
      </c>
      <c r="G34" s="32">
        <f t="shared" si="4"/>
        <v>126073</v>
      </c>
      <c r="H34" s="32">
        <f t="shared" si="4"/>
        <v>167824</v>
      </c>
      <c r="I34" s="43">
        <f t="shared" si="4"/>
        <v>209438</v>
      </c>
      <c r="J34" s="28">
        <f t="shared" si="4"/>
        <v>250917</v>
      </c>
      <c r="L34" s="106"/>
      <c r="M34" s="106"/>
      <c r="N34" s="65"/>
      <c r="O34" s="65"/>
    </row>
    <row r="35" spans="1:15" ht="16.5" customHeight="1" x14ac:dyDescent="0.15">
      <c r="A35" s="27">
        <f t="shared" si="9"/>
        <v>30</v>
      </c>
      <c r="B35" s="28">
        <f>IF(料額表!$C34&lt;=料額表!$G$1,料額表!$C34,"")</f>
        <v>500000</v>
      </c>
      <c r="C35" s="29">
        <f>IF($B35&lt;料額表!$G$1,VLOOKUP(健康保険料!$B35,料額表!$C$5:$I$54,4,FALSE),VLOOKUP(料額表!$G$1,料額表!$C$5:$I$54,4,FALSE))</f>
        <v>45000</v>
      </c>
      <c r="D35" s="30">
        <f t="shared" si="3"/>
        <v>500000</v>
      </c>
      <c r="E35" s="30">
        <f t="shared" si="4"/>
        <v>44853</v>
      </c>
      <c r="F35" s="32">
        <f t="shared" si="4"/>
        <v>89559</v>
      </c>
      <c r="G35" s="32">
        <f t="shared" si="4"/>
        <v>134120</v>
      </c>
      <c r="H35" s="32">
        <f t="shared" si="4"/>
        <v>178536</v>
      </c>
      <c r="I35" s="43">
        <f t="shared" si="4"/>
        <v>222806</v>
      </c>
      <c r="J35" s="28">
        <f t="shared" si="4"/>
        <v>266933</v>
      </c>
      <c r="L35" s="106"/>
      <c r="M35" s="106"/>
      <c r="N35" s="65"/>
      <c r="O35" s="65"/>
    </row>
    <row r="36" spans="1:15" ht="16.5" customHeight="1" x14ac:dyDescent="0.15">
      <c r="A36" s="27">
        <f t="shared" si="9"/>
        <v>31</v>
      </c>
      <c r="B36" s="28">
        <f>IF(料額表!$C35&lt;=料額表!$G$1,料額表!$C35,"")</f>
        <v>530000</v>
      </c>
      <c r="C36" s="29">
        <f>IF($B36&lt;料額表!$G$1,VLOOKUP(健康保険料!$B36,料額表!$C$5:$I$54,4,FALSE),VLOOKUP(料額表!$G$1,料額表!$C$5:$I$54,4,FALSE))</f>
        <v>47700</v>
      </c>
      <c r="D36" s="30">
        <f t="shared" si="3"/>
        <v>530000</v>
      </c>
      <c r="E36" s="30">
        <f t="shared" ref="E36:J39" si="10">ROUNDDOWN($C36*E$1,0)</f>
        <v>47544</v>
      </c>
      <c r="F36" s="32">
        <f t="shared" si="10"/>
        <v>94933</v>
      </c>
      <c r="G36" s="32">
        <f t="shared" si="10"/>
        <v>142168</v>
      </c>
      <c r="H36" s="32">
        <f t="shared" si="10"/>
        <v>189248</v>
      </c>
      <c r="I36" s="43">
        <f t="shared" si="10"/>
        <v>236175</v>
      </c>
      <c r="J36" s="28">
        <f t="shared" si="10"/>
        <v>282949</v>
      </c>
      <c r="L36" s="106"/>
      <c r="M36" s="106"/>
      <c r="N36" s="65"/>
      <c r="O36" s="65"/>
    </row>
    <row r="37" spans="1:15" ht="16.5" customHeight="1" x14ac:dyDescent="0.15">
      <c r="A37" s="27">
        <f t="shared" si="9"/>
        <v>32</v>
      </c>
      <c r="B37" s="28">
        <v>560000</v>
      </c>
      <c r="C37" s="29">
        <f>IF($B37&lt;料額表!$G$1,VLOOKUP(健康保険料!$B37,料額表!$C$5:$I$54,4,FALSE),VLOOKUP(料額表!$G$1,料額表!$C$5:$I$54,4,FALSE))</f>
        <v>50400</v>
      </c>
      <c r="D37" s="30">
        <f t="shared" ref="D37" si="11">B37</f>
        <v>560000</v>
      </c>
      <c r="E37" s="30">
        <f t="shared" si="10"/>
        <v>50235</v>
      </c>
      <c r="F37" s="32">
        <f t="shared" si="10"/>
        <v>100307</v>
      </c>
      <c r="G37" s="32">
        <f t="shared" si="10"/>
        <v>150215</v>
      </c>
      <c r="H37" s="32">
        <f t="shared" si="10"/>
        <v>199960</v>
      </c>
      <c r="I37" s="43">
        <f t="shared" si="10"/>
        <v>249543</v>
      </c>
      <c r="J37" s="28">
        <f t="shared" si="10"/>
        <v>298965</v>
      </c>
      <c r="L37" s="106"/>
      <c r="M37" s="106"/>
      <c r="N37" s="65"/>
      <c r="O37" s="65"/>
    </row>
    <row r="38" spans="1:15" ht="16.5" customHeight="1" x14ac:dyDescent="0.15">
      <c r="A38" s="27">
        <f t="shared" si="9"/>
        <v>33</v>
      </c>
      <c r="B38" s="28">
        <v>590000</v>
      </c>
      <c r="C38" s="29">
        <f>IF($B38&lt;料額表!$G$1,VLOOKUP(健康保険料!$B38,料額表!$C$5:$I$54,4,FALSE),VLOOKUP(料額表!$G$1,料額表!$C$5:$I$54,4,FALSE))</f>
        <v>53100</v>
      </c>
      <c r="D38" s="30">
        <f t="shared" ref="D38:D39" si="12">B38</f>
        <v>590000</v>
      </c>
      <c r="E38" s="30">
        <f t="shared" si="10"/>
        <v>52926</v>
      </c>
      <c r="F38" s="32">
        <f t="shared" si="10"/>
        <v>105680</v>
      </c>
      <c r="G38" s="32">
        <f t="shared" si="10"/>
        <v>158262</v>
      </c>
      <c r="H38" s="32">
        <f t="shared" si="10"/>
        <v>210672</v>
      </c>
      <c r="I38" s="43">
        <f t="shared" si="10"/>
        <v>262912</v>
      </c>
      <c r="J38" s="28">
        <f t="shared" si="10"/>
        <v>314981</v>
      </c>
      <c r="L38" s="106"/>
      <c r="M38" s="106"/>
      <c r="N38" s="65"/>
      <c r="O38" s="65"/>
    </row>
    <row r="39" spans="1:15" ht="16.5" customHeight="1" x14ac:dyDescent="0.15">
      <c r="A39" s="27">
        <f t="shared" si="9"/>
        <v>34</v>
      </c>
      <c r="B39" s="28">
        <v>620000</v>
      </c>
      <c r="C39" s="29">
        <f>IF($B39&lt;料額表!$G$1,VLOOKUP(健康保険料!$B39,料額表!$C$5:$I$54,4,FALSE),VLOOKUP(料額表!$G$1,料額表!$C$5:$I$54,4,FALSE))</f>
        <v>53100</v>
      </c>
      <c r="D39" s="30">
        <f t="shared" si="12"/>
        <v>620000</v>
      </c>
      <c r="E39" s="30">
        <f t="shared" si="10"/>
        <v>52926</v>
      </c>
      <c r="F39" s="32">
        <f t="shared" si="10"/>
        <v>105680</v>
      </c>
      <c r="G39" s="32">
        <f t="shared" si="10"/>
        <v>158262</v>
      </c>
      <c r="H39" s="32">
        <f t="shared" si="10"/>
        <v>210672</v>
      </c>
      <c r="I39" s="43">
        <f t="shared" si="10"/>
        <v>262912</v>
      </c>
      <c r="J39" s="28">
        <f t="shared" si="10"/>
        <v>314981</v>
      </c>
      <c r="L39" s="106"/>
      <c r="M39" s="106"/>
      <c r="N39" s="65"/>
      <c r="O39" s="65"/>
    </row>
    <row r="40" spans="1:15" ht="16.5" customHeight="1" thickBot="1" x14ac:dyDescent="0.2">
      <c r="A40" s="19">
        <f t="shared" si="9"/>
        <v>35</v>
      </c>
      <c r="B40" s="22">
        <v>650000</v>
      </c>
      <c r="C40" s="21">
        <f>IF($B40&lt;料額表!$G$1,VLOOKUP(健康保険料!$B40,料額表!$C$5:$I$54,4,FALSE),VLOOKUP(料額表!$G$1,料額表!$C$5:$I$54,4,FALSE))</f>
        <v>53100</v>
      </c>
      <c r="D40" s="14">
        <f t="shared" si="3"/>
        <v>650000</v>
      </c>
      <c r="E40" s="14">
        <f t="shared" ref="E40:J40" si="13">ROUNDDOWN($C40*E$1,0)</f>
        <v>52926</v>
      </c>
      <c r="F40" s="33">
        <f t="shared" si="13"/>
        <v>105680</v>
      </c>
      <c r="G40" s="33">
        <f t="shared" si="13"/>
        <v>158262</v>
      </c>
      <c r="H40" s="33">
        <f t="shared" si="13"/>
        <v>210672</v>
      </c>
      <c r="I40" s="44">
        <f t="shared" si="13"/>
        <v>262912</v>
      </c>
      <c r="J40" s="22">
        <f t="shared" si="13"/>
        <v>314981</v>
      </c>
      <c r="L40" s="106"/>
      <c r="M40" s="106"/>
      <c r="N40" s="65"/>
      <c r="O40" s="65"/>
    </row>
    <row r="41" spans="1:15" ht="10.5" customHeight="1" x14ac:dyDescent="0.15">
      <c r="A41" s="20"/>
      <c r="B41" s="20"/>
      <c r="C41" s="20"/>
      <c r="D41" s="20"/>
      <c r="E41" s="20"/>
      <c r="F41" s="20"/>
      <c r="G41" s="20"/>
      <c r="H41" s="20"/>
      <c r="I41" s="20"/>
      <c r="J41" s="20"/>
      <c r="L41" s="106"/>
      <c r="M41" s="106"/>
      <c r="N41" s="65"/>
      <c r="O41" s="65"/>
    </row>
    <row r="42" spans="1:15" ht="16.5" customHeight="1" x14ac:dyDescent="0.15">
      <c r="A42" s="61" t="s">
        <v>44</v>
      </c>
      <c r="L42" s="106"/>
      <c r="M42" s="106"/>
      <c r="N42" s="65"/>
      <c r="O42" s="65"/>
    </row>
    <row r="43" spans="1:15" ht="16.5" customHeight="1" x14ac:dyDescent="0.15">
      <c r="A43" s="61" t="str">
        <f>"　 被保険者の平均の標準報酬月額 "&amp;TEXT(料額表!$G$1,"#,##0")&amp;"円 のうち低い額となります。"</f>
        <v>　 被保険者の平均の標準報酬月額 590,000円 のうち低い額となります。</v>
      </c>
      <c r="L43" s="96"/>
      <c r="M43" s="96"/>
    </row>
    <row r="44" spans="1:15" ht="9" customHeight="1" x14ac:dyDescent="0.15"/>
    <row r="45" spans="1:15" ht="16.5" customHeight="1" x14ac:dyDescent="0.15">
      <c r="A45" s="97" t="s">
        <v>76</v>
      </c>
      <c r="B45" s="97"/>
      <c r="C45" s="97"/>
      <c r="D45" s="97"/>
      <c r="E45" s="97"/>
      <c r="F45" s="97"/>
      <c r="G45" s="97"/>
      <c r="H45" s="97"/>
      <c r="I45" s="97"/>
      <c r="J45" s="97"/>
    </row>
    <row r="46" spans="1:15" ht="16.5" customHeight="1" x14ac:dyDescent="0.15">
      <c r="A46" s="97"/>
      <c r="B46" s="97"/>
      <c r="C46" s="97"/>
      <c r="D46" s="97"/>
      <c r="E46" s="97"/>
      <c r="F46" s="97"/>
      <c r="G46" s="97"/>
      <c r="H46" s="97"/>
      <c r="I46" s="97"/>
      <c r="J46" s="97"/>
    </row>
    <row r="47" spans="1:15" ht="16.5" customHeight="1" x14ac:dyDescent="0.15">
      <c r="A47" s="97"/>
      <c r="B47" s="97"/>
      <c r="C47" s="97"/>
      <c r="D47" s="97"/>
      <c r="E47" s="97"/>
      <c r="F47" s="97"/>
      <c r="G47" s="97"/>
      <c r="H47" s="97"/>
      <c r="I47" s="97"/>
      <c r="J47" s="97"/>
    </row>
    <row r="48" spans="1:15" ht="16.5" customHeight="1" x14ac:dyDescent="0.15">
      <c r="A48" s="97"/>
      <c r="B48" s="97"/>
      <c r="C48" s="97"/>
      <c r="D48" s="97"/>
      <c r="E48" s="97"/>
      <c r="F48" s="97"/>
      <c r="G48" s="97"/>
      <c r="H48" s="97"/>
      <c r="I48" s="97"/>
      <c r="J48" s="97"/>
      <c r="L48" s="98" t="s">
        <v>77</v>
      </c>
      <c r="M48" s="98"/>
    </row>
  </sheetData>
  <sheetProtection algorithmName="SHA-512" hashValue="FzFGb04a7MdZzUwPjzIAnp4eCQd1EkfphqyQuYIGL+drTdK0/raONenO8gv5fke57aLgnitqYsvz3lvWaL1mkQ==" saltValue="MvQFDpQT45/84hr8Mga3Fw==" spinCount="100000" sheet="1" objects="1" scenarios="1"/>
  <mergeCells count="26">
    <mergeCell ref="E4:J4"/>
    <mergeCell ref="A3:C3"/>
    <mergeCell ref="F2:G2"/>
    <mergeCell ref="L6:L7"/>
    <mergeCell ref="L13:M13"/>
    <mergeCell ref="M6:M7"/>
    <mergeCell ref="L8:L9"/>
    <mergeCell ref="M8:M9"/>
    <mergeCell ref="A4:B4"/>
    <mergeCell ref="C4:C5"/>
    <mergeCell ref="L4:M4"/>
    <mergeCell ref="L11:M11"/>
    <mergeCell ref="K10:M10"/>
    <mergeCell ref="L2:M2"/>
    <mergeCell ref="A45:J48"/>
    <mergeCell ref="L48:M48"/>
    <mergeCell ref="M14:M15"/>
    <mergeCell ref="M16:M17"/>
    <mergeCell ref="M18:M19"/>
    <mergeCell ref="L18:L19"/>
    <mergeCell ref="L29:M42"/>
    <mergeCell ref="L21:M21"/>
    <mergeCell ref="M22:M23"/>
    <mergeCell ref="M24:M25"/>
    <mergeCell ref="L26:L27"/>
    <mergeCell ref="M26:M27"/>
  </mergeCells>
  <phoneticPr fontId="4"/>
  <conditionalFormatting sqref="L29:M42">
    <cfRule type="expression" dxfId="2" priority="1">
      <formula>$M$6*$M$8&gt;0</formula>
    </cfRule>
  </conditionalFormatting>
  <printOptions horizontalCentered="1" verticalCentered="1"/>
  <pageMargins left="0" right="0" top="0.39370078740157483" bottom="0.39370078740157483" header="0" footer="0"/>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86B790B-9D28-461B-82CB-08CA9D1794B7}">
          <x14:formula1>
            <xm:f>料額表!$D$5:$D$54</xm:f>
          </x14:formula1>
          <xm:sqref>M8:O9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7E06-40F8-4D62-92C5-19CEF3AA742A}">
  <sheetPr>
    <pageSetUpPr fitToPage="1"/>
  </sheetPr>
  <dimension ref="A1:X48"/>
  <sheetViews>
    <sheetView showGridLines="0" topLeftCell="A2" workbookViewId="0">
      <selection activeCell="A2" sqref="A2"/>
    </sheetView>
  </sheetViews>
  <sheetFormatPr defaultRowHeight="13.5" x14ac:dyDescent="0.15"/>
  <cols>
    <col min="1" max="1" width="8" customWidth="1"/>
    <col min="2" max="2" width="12.625" customWidth="1"/>
    <col min="3" max="3" width="10.625" customWidth="1"/>
    <col min="4" max="4" width="9.875" hidden="1" customWidth="1"/>
    <col min="5" max="10" width="10.625" customWidth="1"/>
    <col min="11" max="11" width="3.375" customWidth="1"/>
    <col min="12" max="12" width="16" customWidth="1"/>
    <col min="13" max="14" width="12.75" customWidth="1"/>
    <col min="16" max="16" width="11.375" style="39" customWidth="1"/>
    <col min="17" max="17" width="0" style="90" hidden="1" customWidth="1"/>
    <col min="18" max="18" width="10.5" style="90" hidden="1" customWidth="1"/>
    <col min="19" max="19" width="11.625" style="90" hidden="1" customWidth="1"/>
    <col min="20" max="24" width="0" style="90" hidden="1" customWidth="1"/>
  </cols>
  <sheetData>
    <row r="1" spans="1:24" s="87" customFormat="1" ht="18" hidden="1" customHeight="1" x14ac:dyDescent="0.15">
      <c r="E1" s="88">
        <v>0.99673694000000002</v>
      </c>
      <c r="F1" s="88">
        <v>1.99022147</v>
      </c>
      <c r="G1" s="88">
        <v>2.9804642000000001</v>
      </c>
      <c r="H1" s="88">
        <v>3.9674757299999999</v>
      </c>
      <c r="I1" s="88">
        <v>4.9512665699999996</v>
      </c>
      <c r="J1" s="88">
        <v>5.9318472499999997</v>
      </c>
      <c r="K1" s="89"/>
      <c r="P1" s="90"/>
      <c r="Q1" s="90"/>
      <c r="R1" s="90"/>
      <c r="S1" s="90"/>
      <c r="T1" s="90"/>
      <c r="U1" s="90"/>
      <c r="V1" s="90"/>
      <c r="W1" s="90"/>
      <c r="X1" s="90"/>
    </row>
    <row r="2" spans="1:24" ht="26.25" customHeight="1" x14ac:dyDescent="0.15">
      <c r="A2" s="18" t="s">
        <v>32</v>
      </c>
      <c r="E2" s="17"/>
      <c r="F2" s="112" t="str">
        <f>料額表!A1&amp;料額表!B1&amp;"年度分"</f>
        <v>令和7年度分</v>
      </c>
      <c r="G2" s="112"/>
      <c r="H2" s="17"/>
      <c r="I2" s="17"/>
      <c r="J2" s="17"/>
      <c r="K2" s="16"/>
      <c r="L2" s="127">
        <f ca="1">TODAY()</f>
        <v>45793</v>
      </c>
      <c r="M2" s="128"/>
    </row>
    <row r="3" spans="1:24" ht="34.5" customHeight="1" thickBot="1" x14ac:dyDescent="0.2">
      <c r="A3" s="111" t="s">
        <v>33</v>
      </c>
      <c r="B3" s="111"/>
      <c r="C3" s="111"/>
      <c r="D3" s="36"/>
      <c r="T3" s="91" t="s">
        <v>36</v>
      </c>
      <c r="U3" s="91" t="s">
        <v>37</v>
      </c>
      <c r="V3" s="91" t="s">
        <v>38</v>
      </c>
      <c r="W3" s="91" t="s">
        <v>39</v>
      </c>
    </row>
    <row r="4" spans="1:24" ht="16.5" customHeight="1" x14ac:dyDescent="0.15">
      <c r="A4" s="131" t="s">
        <v>27</v>
      </c>
      <c r="B4" s="139"/>
      <c r="C4" s="140" t="s">
        <v>30</v>
      </c>
      <c r="D4" s="55"/>
      <c r="E4" s="131" t="s">
        <v>74</v>
      </c>
      <c r="F4" s="139"/>
      <c r="G4" s="139"/>
      <c r="H4" s="139"/>
      <c r="I4" s="139"/>
      <c r="J4" s="142"/>
      <c r="L4" s="123" t="s">
        <v>47</v>
      </c>
      <c r="M4" s="123"/>
      <c r="N4" s="63"/>
      <c r="P4" s="40" t="str">
        <f>IF($M$6="","",$M$6+1)</f>
        <v/>
      </c>
      <c r="Q4" s="90" t="s">
        <v>15</v>
      </c>
      <c r="R4" s="92">
        <f>VALUE(料額表!$A$1&amp;料額表!$B$1&amp;"年"&amp;Q4&amp;"1日")</f>
        <v>45748</v>
      </c>
      <c r="S4" s="92">
        <f>EOMONTH(R4,0)</f>
        <v>45777</v>
      </c>
      <c r="T4" s="90">
        <f>IF(P4&gt;=料額表!M1,IF($S4&gt;=$P$4,IF($S3&lt;$P$4,1,0),0))</f>
        <v>0</v>
      </c>
      <c r="X4" s="90" t="s">
        <v>15</v>
      </c>
    </row>
    <row r="5" spans="1:24" ht="16.5" customHeight="1" thickBot="1" x14ac:dyDescent="0.2">
      <c r="A5" s="37" t="s">
        <v>29</v>
      </c>
      <c r="B5" s="38" t="s">
        <v>31</v>
      </c>
      <c r="C5" s="141"/>
      <c r="D5" s="56"/>
      <c r="E5" s="49">
        <v>1</v>
      </c>
      <c r="F5" s="50">
        <v>2</v>
      </c>
      <c r="G5" s="50">
        <v>3</v>
      </c>
      <c r="H5" s="50">
        <v>4</v>
      </c>
      <c r="I5" s="51">
        <v>5</v>
      </c>
      <c r="J5" s="52">
        <v>6</v>
      </c>
      <c r="L5" s="86" t="s">
        <v>52</v>
      </c>
      <c r="M5" s="58"/>
      <c r="N5" s="58"/>
      <c r="P5" s="39" t="str">
        <f>IF($P$4="","",MONTH($P$4))</f>
        <v/>
      </c>
      <c r="Q5" s="90" t="s">
        <v>16</v>
      </c>
      <c r="R5" s="92">
        <f>VALUE(料額表!$A$1&amp;料額表!$B$1&amp;"年"&amp;Q5&amp;"1日")</f>
        <v>45778</v>
      </c>
      <c r="S5" s="92">
        <f t="shared" ref="S5:S15" si="0">EOMONTH(R5,0)</f>
        <v>45808</v>
      </c>
      <c r="T5" s="90">
        <f t="shared" ref="T5:V15" si="1">IF($S5&gt;=$P$4,IF($S4&lt;$P$4,1,0),0)</f>
        <v>0</v>
      </c>
      <c r="U5" s="90" t="str">
        <f>IF(T4=1,1,"")</f>
        <v/>
      </c>
      <c r="X5" s="90" t="s">
        <v>16</v>
      </c>
    </row>
    <row r="6" spans="1:24" ht="16.5" customHeight="1" x14ac:dyDescent="0.15">
      <c r="A6" s="23">
        <f>料額表!A5</f>
        <v>1</v>
      </c>
      <c r="B6" s="24">
        <f>料額表!C5</f>
        <v>58000</v>
      </c>
      <c r="C6" s="25">
        <f>IF($B6&lt;料額表!$G$1,VLOOKUP(介護保険料!$B6,料額表!$C$5:$I$54,7,FALSE),VLOOKUP(料額表!$G$1,料額表!$C$5:$I$54,7,FALSE))</f>
        <v>1044</v>
      </c>
      <c r="D6" s="26">
        <f>B6</f>
        <v>58000</v>
      </c>
      <c r="E6" s="26">
        <f t="shared" ref="E6:J6" si="2">ROUNDDOWN($C6*E$1,0)</f>
        <v>1040</v>
      </c>
      <c r="F6" s="31">
        <f t="shared" si="2"/>
        <v>2077</v>
      </c>
      <c r="G6" s="31">
        <f t="shared" si="2"/>
        <v>3111</v>
      </c>
      <c r="H6" s="31">
        <f t="shared" si="2"/>
        <v>4142</v>
      </c>
      <c r="I6" s="42">
        <f t="shared" si="2"/>
        <v>5169</v>
      </c>
      <c r="J6" s="24">
        <f t="shared" si="2"/>
        <v>6192</v>
      </c>
      <c r="L6" s="131" t="s">
        <v>34</v>
      </c>
      <c r="M6" s="133" t="str">
        <f>IF(健康保険料!$M$6&gt;0,健康保険料!$M$6,"")</f>
        <v/>
      </c>
      <c r="N6" s="57"/>
      <c r="P6" s="41" t="str">
        <f>IF($M$6="","",健康保険料!$P$6)</f>
        <v/>
      </c>
      <c r="Q6" s="90" t="s">
        <v>17</v>
      </c>
      <c r="R6" s="92">
        <f>VALUE(料額表!$A$1&amp;料額表!$B$1&amp;"年"&amp;Q6&amp;"1日")</f>
        <v>45809</v>
      </c>
      <c r="S6" s="92">
        <f t="shared" si="0"/>
        <v>45838</v>
      </c>
      <c r="T6" s="90">
        <f t="shared" si="1"/>
        <v>0</v>
      </c>
      <c r="U6" s="90" t="str">
        <f>IF(T5=1,1,IF(U5="","",U5+1))</f>
        <v/>
      </c>
      <c r="X6" s="90" t="s">
        <v>17</v>
      </c>
    </row>
    <row r="7" spans="1:24" ht="16.5" customHeight="1" x14ac:dyDescent="0.15">
      <c r="A7" s="27">
        <f>料額表!A6</f>
        <v>2</v>
      </c>
      <c r="B7" s="28">
        <f>料額表!C6</f>
        <v>68000</v>
      </c>
      <c r="C7" s="29">
        <f>IF($B7&lt;料額表!$G$1,VLOOKUP(介護保険料!$B7,料額表!$C$5:$I$54,7,FALSE),VLOOKUP(料額表!$G$1,料額表!$C$5:$I$54,7,FALSE))</f>
        <v>1224</v>
      </c>
      <c r="D7" s="30">
        <f t="shared" ref="D7:D40" si="3">B7</f>
        <v>68000</v>
      </c>
      <c r="E7" s="30">
        <f t="shared" ref="E7:J35" si="4">ROUNDDOWN($C7*E$1,0)</f>
        <v>1220</v>
      </c>
      <c r="F7" s="32">
        <f t="shared" si="4"/>
        <v>2436</v>
      </c>
      <c r="G7" s="32">
        <f t="shared" si="4"/>
        <v>3648</v>
      </c>
      <c r="H7" s="32">
        <f t="shared" si="4"/>
        <v>4856</v>
      </c>
      <c r="I7" s="43">
        <f t="shared" si="4"/>
        <v>6060</v>
      </c>
      <c r="J7" s="28">
        <f t="shared" si="4"/>
        <v>7260</v>
      </c>
      <c r="L7" s="132"/>
      <c r="M7" s="134"/>
      <c r="N7" s="58"/>
      <c r="Q7" s="90" t="s">
        <v>18</v>
      </c>
      <c r="R7" s="92">
        <f>VALUE(料額表!$A$1&amp;料額表!$B$1&amp;"年"&amp;Q7&amp;"1日")</f>
        <v>45839</v>
      </c>
      <c r="S7" s="92">
        <f t="shared" si="0"/>
        <v>45869</v>
      </c>
      <c r="T7" s="90">
        <f t="shared" si="1"/>
        <v>0</v>
      </c>
      <c r="U7" s="90" t="str">
        <f t="shared" ref="U7:U9" si="5">IF(T6=1,1,IF(U6="","",U6+1))</f>
        <v/>
      </c>
      <c r="X7" s="90" t="s">
        <v>18</v>
      </c>
    </row>
    <row r="8" spans="1:24" ht="16.5" customHeight="1" x14ac:dyDescent="0.15">
      <c r="A8" s="27">
        <f>料額表!A7</f>
        <v>3</v>
      </c>
      <c r="B8" s="28">
        <f>料額表!C7</f>
        <v>78000</v>
      </c>
      <c r="C8" s="29">
        <f>IF($B8&lt;料額表!$G$1,VLOOKUP(介護保険料!$B8,料額表!$C$5:$I$54,7,FALSE),VLOOKUP(料額表!$G$1,料額表!$C$5:$I$54,7,FALSE))</f>
        <v>1404</v>
      </c>
      <c r="D8" s="30">
        <f t="shared" si="3"/>
        <v>78000</v>
      </c>
      <c r="E8" s="30">
        <f t="shared" si="4"/>
        <v>1399</v>
      </c>
      <c r="F8" s="32">
        <f t="shared" si="4"/>
        <v>2794</v>
      </c>
      <c r="G8" s="32">
        <f t="shared" si="4"/>
        <v>4184</v>
      </c>
      <c r="H8" s="32">
        <f t="shared" si="4"/>
        <v>5570</v>
      </c>
      <c r="I8" s="43">
        <f t="shared" si="4"/>
        <v>6951</v>
      </c>
      <c r="J8" s="28">
        <f t="shared" si="4"/>
        <v>8328</v>
      </c>
      <c r="L8" s="135" t="s">
        <v>50</v>
      </c>
      <c r="M8" s="137" t="str">
        <f>IF(健康保険料!$M$8="","",VLOOKUP($P$6,料額表!$C$5:$G$56,5,FALSE))</f>
        <v/>
      </c>
      <c r="N8" s="14"/>
      <c r="Q8" s="90" t="s">
        <v>19</v>
      </c>
      <c r="R8" s="92">
        <f>VALUE(料額表!$A$1&amp;料額表!$B$1&amp;"年"&amp;Q8&amp;"1日")</f>
        <v>45870</v>
      </c>
      <c r="S8" s="92">
        <f t="shared" si="0"/>
        <v>45900</v>
      </c>
      <c r="T8" s="90">
        <f t="shared" si="1"/>
        <v>0</v>
      </c>
      <c r="U8" s="90" t="str">
        <f t="shared" si="5"/>
        <v/>
      </c>
      <c r="X8" s="90" t="s">
        <v>19</v>
      </c>
    </row>
    <row r="9" spans="1:24" ht="16.5" customHeight="1" thickBot="1" x14ac:dyDescent="0.2">
      <c r="A9" s="27">
        <f>料額表!A8</f>
        <v>4</v>
      </c>
      <c r="B9" s="28">
        <f>料額表!C8</f>
        <v>88000</v>
      </c>
      <c r="C9" s="29">
        <f>IF($B9&lt;料額表!$G$1,VLOOKUP(介護保険料!$B9,料額表!$C$5:$I$54,7,FALSE),VLOOKUP(料額表!$G$1,料額表!$C$5:$I$54,7,FALSE))</f>
        <v>1584</v>
      </c>
      <c r="D9" s="30">
        <f t="shared" si="3"/>
        <v>88000</v>
      </c>
      <c r="E9" s="30">
        <f t="shared" si="4"/>
        <v>1578</v>
      </c>
      <c r="F9" s="32">
        <f t="shared" si="4"/>
        <v>3152</v>
      </c>
      <c r="G9" s="32">
        <f t="shared" si="4"/>
        <v>4721</v>
      </c>
      <c r="H9" s="32">
        <f t="shared" si="4"/>
        <v>6284</v>
      </c>
      <c r="I9" s="43">
        <f t="shared" si="4"/>
        <v>7842</v>
      </c>
      <c r="J9" s="28">
        <f t="shared" si="4"/>
        <v>9396</v>
      </c>
      <c r="L9" s="136"/>
      <c r="M9" s="138"/>
      <c r="N9" s="14"/>
      <c r="Q9" s="90" t="s">
        <v>20</v>
      </c>
      <c r="R9" s="92">
        <f>VALUE(料額表!$A$1&amp;料額表!$B$1&amp;"年"&amp;Q9&amp;"1日")</f>
        <v>45901</v>
      </c>
      <c r="S9" s="92">
        <f t="shared" si="0"/>
        <v>45930</v>
      </c>
      <c r="T9" s="90">
        <f t="shared" si="1"/>
        <v>0</v>
      </c>
      <c r="U9" s="90" t="str">
        <f t="shared" si="5"/>
        <v/>
      </c>
      <c r="X9" s="90" t="s">
        <v>20</v>
      </c>
    </row>
    <row r="10" spans="1:24" ht="16.5" customHeight="1" x14ac:dyDescent="0.15">
      <c r="A10" s="27">
        <f>料額表!A9</f>
        <v>5</v>
      </c>
      <c r="B10" s="28">
        <f>料額表!C9</f>
        <v>98000</v>
      </c>
      <c r="C10" s="29">
        <f>IF($B10&lt;料額表!$G$1,VLOOKUP(介護保険料!$B10,料額表!$C$5:$I$54,7,FALSE),VLOOKUP(料額表!$G$1,料額表!$C$5:$I$54,7,FALSE))</f>
        <v>1764</v>
      </c>
      <c r="D10" s="30">
        <f t="shared" si="3"/>
        <v>98000</v>
      </c>
      <c r="E10" s="30">
        <f t="shared" si="4"/>
        <v>1758</v>
      </c>
      <c r="F10" s="32">
        <f t="shared" si="4"/>
        <v>3510</v>
      </c>
      <c r="G10" s="32">
        <f t="shared" si="4"/>
        <v>5257</v>
      </c>
      <c r="H10" s="32">
        <f t="shared" si="4"/>
        <v>6998</v>
      </c>
      <c r="I10" s="43">
        <f t="shared" si="4"/>
        <v>8734</v>
      </c>
      <c r="J10" s="28">
        <f t="shared" si="4"/>
        <v>10463</v>
      </c>
      <c r="K10" s="125" t="str">
        <f>IF($M$6="","",IF($P$4&lt;料額表!$M$1,"* 前年度の試算はできません！",IF($P$4&gt;料額表!$M$2,"* 次年度分の試算はできません！","* 給与明細等でご確認下さい")))</f>
        <v/>
      </c>
      <c r="L10" s="126"/>
      <c r="M10" s="126"/>
      <c r="N10" s="60"/>
      <c r="Q10" s="90" t="s">
        <v>21</v>
      </c>
      <c r="R10" s="92">
        <f>VALUE(料額表!$A$1&amp;料額表!$B$1&amp;"年"&amp;Q10&amp;"1日")</f>
        <v>45931</v>
      </c>
      <c r="S10" s="92">
        <f t="shared" si="0"/>
        <v>45961</v>
      </c>
      <c r="V10" s="90">
        <f>IF($S10&gt;=$P$4,IF($S9&lt;$P$4,1,0),0)</f>
        <v>0</v>
      </c>
      <c r="W10" s="90" t="str">
        <f>IF(T9=1,1,"")</f>
        <v/>
      </c>
      <c r="X10" s="90" t="s">
        <v>21</v>
      </c>
    </row>
    <row r="11" spans="1:24" ht="16.5" customHeight="1" x14ac:dyDescent="0.15">
      <c r="A11" s="27">
        <f>料額表!A10</f>
        <v>6</v>
      </c>
      <c r="B11" s="28">
        <f>料額表!C10</f>
        <v>104000</v>
      </c>
      <c r="C11" s="29">
        <f>IF($B11&lt;料額表!$G$1,VLOOKUP(介護保険料!$B11,料額表!$C$5:$I$54,7,FALSE),VLOOKUP(料額表!$G$1,料額表!$C$5:$I$54,7,FALSE))</f>
        <v>1872</v>
      </c>
      <c r="D11" s="30">
        <f t="shared" si="3"/>
        <v>104000</v>
      </c>
      <c r="E11" s="30">
        <f t="shared" si="4"/>
        <v>1865</v>
      </c>
      <c r="F11" s="32">
        <f t="shared" si="4"/>
        <v>3725</v>
      </c>
      <c r="G11" s="32">
        <f t="shared" si="4"/>
        <v>5579</v>
      </c>
      <c r="H11" s="32">
        <f t="shared" si="4"/>
        <v>7427</v>
      </c>
      <c r="I11" s="43">
        <f t="shared" si="4"/>
        <v>9268</v>
      </c>
      <c r="J11" s="28">
        <f t="shared" si="4"/>
        <v>11104</v>
      </c>
      <c r="L11" s="36"/>
      <c r="M11" s="36"/>
      <c r="N11" s="36"/>
      <c r="Q11" s="90" t="s">
        <v>22</v>
      </c>
      <c r="R11" s="92">
        <f>VALUE(料額表!$A$1&amp;料額表!$B$1&amp;"年"&amp;Q11&amp;"1日")</f>
        <v>45962</v>
      </c>
      <c r="S11" s="92">
        <f t="shared" si="0"/>
        <v>45991</v>
      </c>
      <c r="V11" s="90">
        <f t="shared" si="1"/>
        <v>0</v>
      </c>
      <c r="W11" s="90" t="str">
        <f>IF(V10=1,1,IF(W10="","",W10+1))</f>
        <v/>
      </c>
      <c r="X11" s="90" t="s">
        <v>22</v>
      </c>
    </row>
    <row r="12" spans="1:24" ht="16.5" customHeight="1" x14ac:dyDescent="0.15">
      <c r="A12" s="27">
        <f>料額表!A11</f>
        <v>7</v>
      </c>
      <c r="B12" s="28">
        <f>料額表!C11</f>
        <v>110000</v>
      </c>
      <c r="C12" s="29">
        <f>IF($B12&lt;料額表!$G$1,VLOOKUP(介護保険料!$B12,料額表!$C$5:$I$54,7,FALSE),VLOOKUP(料額表!$G$1,料額表!$C$5:$I$54,7,FALSE))</f>
        <v>1980</v>
      </c>
      <c r="D12" s="30">
        <f t="shared" si="3"/>
        <v>110000</v>
      </c>
      <c r="E12" s="30">
        <f t="shared" si="4"/>
        <v>1973</v>
      </c>
      <c r="F12" s="32">
        <f t="shared" si="4"/>
        <v>3940</v>
      </c>
      <c r="G12" s="32">
        <f t="shared" si="4"/>
        <v>5901</v>
      </c>
      <c r="H12" s="32">
        <f t="shared" si="4"/>
        <v>7855</v>
      </c>
      <c r="I12" s="43">
        <f t="shared" si="4"/>
        <v>9803</v>
      </c>
      <c r="J12" s="28">
        <f t="shared" si="4"/>
        <v>11745</v>
      </c>
      <c r="L12" s="59"/>
      <c r="M12" s="59"/>
      <c r="N12" s="59"/>
      <c r="Q12" s="90" t="s">
        <v>23</v>
      </c>
      <c r="R12" s="92">
        <f>VALUE(料額表!$A$1&amp;料額表!$B$1&amp;"年"&amp;Q12&amp;"1日")</f>
        <v>45992</v>
      </c>
      <c r="S12" s="92">
        <f t="shared" si="0"/>
        <v>46022</v>
      </c>
      <c r="V12" s="90">
        <f t="shared" si="1"/>
        <v>0</v>
      </c>
      <c r="W12" s="90" t="str">
        <f>IF(V11=1,1,IF(W11="","",W11+1))</f>
        <v/>
      </c>
      <c r="X12" s="90" t="s">
        <v>23</v>
      </c>
    </row>
    <row r="13" spans="1:24" ht="16.5" customHeight="1" thickBot="1" x14ac:dyDescent="0.2">
      <c r="A13" s="27">
        <f>料額表!A12</f>
        <v>8</v>
      </c>
      <c r="B13" s="28">
        <f>料額表!C12</f>
        <v>118000</v>
      </c>
      <c r="C13" s="29">
        <f>IF($B13&lt;料額表!$G$1,VLOOKUP(介護保険料!$B13,料額表!$C$5:$I$54,7,FALSE),VLOOKUP(料額表!$G$1,料額表!$C$5:$I$54,7,FALSE))</f>
        <v>2124</v>
      </c>
      <c r="D13" s="30">
        <f t="shared" si="3"/>
        <v>118000</v>
      </c>
      <c r="E13" s="30">
        <f t="shared" si="4"/>
        <v>2117</v>
      </c>
      <c r="F13" s="32">
        <f t="shared" si="4"/>
        <v>4227</v>
      </c>
      <c r="G13" s="32">
        <f t="shared" si="4"/>
        <v>6330</v>
      </c>
      <c r="H13" s="32">
        <f t="shared" si="4"/>
        <v>8426</v>
      </c>
      <c r="I13" s="43">
        <f t="shared" si="4"/>
        <v>10516</v>
      </c>
      <c r="J13" s="28">
        <f t="shared" si="4"/>
        <v>12599</v>
      </c>
      <c r="L13" s="107" t="s">
        <v>43</v>
      </c>
      <c r="M13" s="107"/>
      <c r="N13" s="36"/>
      <c r="Q13" s="90" t="s">
        <v>24</v>
      </c>
      <c r="R13" s="92">
        <f>VALUE(料額表!$A$1&amp;料額表!$B$1+1&amp;"年"&amp;Q13&amp;"1日")</f>
        <v>46023</v>
      </c>
      <c r="S13" s="92">
        <f t="shared" si="0"/>
        <v>46053</v>
      </c>
      <c r="V13" s="90">
        <f t="shared" si="1"/>
        <v>0</v>
      </c>
      <c r="W13" s="90" t="str">
        <f t="shared" ref="W13:W15" si="6">IF(V12=1,1,IF(W12="","",W12+1))</f>
        <v/>
      </c>
      <c r="X13" s="90" t="s">
        <v>24</v>
      </c>
    </row>
    <row r="14" spans="1:24" ht="16.5" customHeight="1" x14ac:dyDescent="0.15">
      <c r="A14" s="27">
        <f>料額表!A13</f>
        <v>9</v>
      </c>
      <c r="B14" s="28">
        <f>料額表!C13</f>
        <v>126000</v>
      </c>
      <c r="C14" s="29">
        <f>IF($B14&lt;料額表!$G$1,VLOOKUP(介護保険料!$B14,料額表!$C$5:$I$54,7,FALSE),VLOOKUP(料額表!$G$1,料額表!$C$5:$I$54,7,FALSE))</f>
        <v>2268</v>
      </c>
      <c r="D14" s="30">
        <f t="shared" si="3"/>
        <v>126000</v>
      </c>
      <c r="E14" s="30">
        <f t="shared" si="4"/>
        <v>2260</v>
      </c>
      <c r="F14" s="32">
        <f t="shared" si="4"/>
        <v>4513</v>
      </c>
      <c r="G14" s="32">
        <f t="shared" si="4"/>
        <v>6759</v>
      </c>
      <c r="H14" s="32">
        <f t="shared" si="4"/>
        <v>8998</v>
      </c>
      <c r="I14" s="43">
        <f t="shared" si="4"/>
        <v>11229</v>
      </c>
      <c r="J14" s="28">
        <f t="shared" si="4"/>
        <v>13453</v>
      </c>
      <c r="L14" s="55" t="s">
        <v>35</v>
      </c>
      <c r="M14" s="99" t="str">
        <f>IF($M$6="","",IF($P$4&lt;料額表!$M$1,"期間指定エラー",IF($P$4&gt;料額表!$M$2,"期間指定エラー",IF($P$6&gt;0,VLOOKUP($P$6,$B$6:$C$40,2,FALSE)))))</f>
        <v/>
      </c>
      <c r="N14" s="59"/>
      <c r="Q14" s="90" t="s">
        <v>25</v>
      </c>
      <c r="R14" s="92">
        <f>VALUE(料額表!$A$1&amp;料額表!$B$1+1&amp;"年"&amp;Q14&amp;"1日")</f>
        <v>46054</v>
      </c>
      <c r="S14" s="92">
        <f t="shared" si="0"/>
        <v>46081</v>
      </c>
      <c r="V14" s="90">
        <f t="shared" si="1"/>
        <v>0</v>
      </c>
      <c r="W14" s="90" t="str">
        <f t="shared" si="6"/>
        <v/>
      </c>
      <c r="X14" s="90" t="s">
        <v>25</v>
      </c>
    </row>
    <row r="15" spans="1:24" ht="16.5" customHeight="1" x14ac:dyDescent="0.15">
      <c r="A15" s="27">
        <f>料額表!A14</f>
        <v>10</v>
      </c>
      <c r="B15" s="28">
        <f>料額表!C14</f>
        <v>134000</v>
      </c>
      <c r="C15" s="29">
        <f>IF($B15&lt;料額表!$G$1,VLOOKUP(介護保険料!$B15,料額表!$C$5:$I$54,7,FALSE),VLOOKUP(料額表!$G$1,料額表!$C$5:$I$54,7,FALSE))</f>
        <v>2412</v>
      </c>
      <c r="D15" s="30">
        <f t="shared" si="3"/>
        <v>134000</v>
      </c>
      <c r="E15" s="30">
        <f t="shared" si="4"/>
        <v>2404</v>
      </c>
      <c r="F15" s="32">
        <f t="shared" si="4"/>
        <v>4800</v>
      </c>
      <c r="G15" s="32">
        <f t="shared" si="4"/>
        <v>7188</v>
      </c>
      <c r="H15" s="32">
        <f t="shared" si="4"/>
        <v>9569</v>
      </c>
      <c r="I15" s="43">
        <f t="shared" si="4"/>
        <v>11942</v>
      </c>
      <c r="J15" s="28">
        <f t="shared" si="4"/>
        <v>14307</v>
      </c>
      <c r="L15" s="82" t="str">
        <f>"("&amp;IF(T16=1,VLOOKUP(1,T4:X9,5,FALSE),IF(V16=1,VLOOKUP(1,V10:X15,3,FALSE),""))&amp;"分)"</f>
        <v>(分)</v>
      </c>
      <c r="M15" s="100"/>
      <c r="N15" s="59"/>
      <c r="Q15" s="90" t="s">
        <v>26</v>
      </c>
      <c r="R15" s="92">
        <f>VALUE(料額表!$A$1&amp;料額表!$B$1+1&amp;"年"&amp;Q15&amp;"1日")</f>
        <v>46082</v>
      </c>
      <c r="S15" s="92">
        <f t="shared" si="0"/>
        <v>46112</v>
      </c>
      <c r="V15" s="90">
        <f t="shared" si="1"/>
        <v>0</v>
      </c>
      <c r="W15" s="90" t="str">
        <f t="shared" si="6"/>
        <v/>
      </c>
      <c r="X15" s="90" t="s">
        <v>26</v>
      </c>
    </row>
    <row r="16" spans="1:24" ht="16.5" customHeight="1" x14ac:dyDescent="0.15">
      <c r="A16" s="27">
        <f>料額表!A15</f>
        <v>11</v>
      </c>
      <c r="B16" s="28">
        <f>料額表!C15</f>
        <v>142000</v>
      </c>
      <c r="C16" s="29">
        <f>IF($B16&lt;料額表!$G$1,VLOOKUP(介護保険料!$B16,料額表!$C$5:$I$54,7,FALSE),VLOOKUP(料額表!$G$1,料額表!$C$5:$I$54,7,FALSE))</f>
        <v>2556</v>
      </c>
      <c r="D16" s="30">
        <f t="shared" si="3"/>
        <v>142000</v>
      </c>
      <c r="E16" s="30">
        <f t="shared" si="4"/>
        <v>2547</v>
      </c>
      <c r="F16" s="32">
        <f t="shared" si="4"/>
        <v>5087</v>
      </c>
      <c r="G16" s="32">
        <f t="shared" si="4"/>
        <v>7618</v>
      </c>
      <c r="H16" s="32">
        <f t="shared" si="4"/>
        <v>10140</v>
      </c>
      <c r="I16" s="43">
        <f t="shared" si="4"/>
        <v>12655</v>
      </c>
      <c r="J16" s="28">
        <f t="shared" si="4"/>
        <v>15161</v>
      </c>
      <c r="L16" s="83" t="s">
        <v>40</v>
      </c>
      <c r="M16" s="101" t="str">
        <f>IF($U$16&gt;0,VLOOKUP($P$6,$D$5:$J$40,MATCH($U$16,$D$5:$J$5,0),FALSE),IF($W$16&gt;0,VLOOKUP($P$6,$D$5:$J$40,MATCH($W$16,$D$5:$J$5,0),FALSE),IF($P$5=3,VLOOKUP($P$6,$D$5:$J$40,7,FALSE),"")))</f>
        <v/>
      </c>
      <c r="N16" s="59"/>
      <c r="T16" s="90">
        <f>COUNTIF(T4:T15,"&gt;0")</f>
        <v>0</v>
      </c>
      <c r="U16" s="90">
        <f t="shared" ref="U16:W16" si="7">COUNTIF(U4:U15,"&gt;0")</f>
        <v>0</v>
      </c>
      <c r="V16" s="90">
        <f t="shared" si="7"/>
        <v>0</v>
      </c>
      <c r="W16" s="90">
        <f t="shared" si="7"/>
        <v>0</v>
      </c>
    </row>
    <row r="17" spans="1:23" ht="16.5" customHeight="1" x14ac:dyDescent="0.15">
      <c r="A17" s="27">
        <f>料額表!A16</f>
        <v>12</v>
      </c>
      <c r="B17" s="28">
        <f>料額表!C16</f>
        <v>150000</v>
      </c>
      <c r="C17" s="29">
        <f>IF($B17&lt;料額表!$G$1,VLOOKUP(介護保険料!$B17,料額表!$C$5:$I$54,7,FALSE),VLOOKUP(料額表!$G$1,料額表!$C$5:$I$54,7,FALSE))</f>
        <v>2700</v>
      </c>
      <c r="D17" s="30">
        <f t="shared" si="3"/>
        <v>150000</v>
      </c>
      <c r="E17" s="30">
        <f t="shared" si="4"/>
        <v>2691</v>
      </c>
      <c r="F17" s="32">
        <f t="shared" si="4"/>
        <v>5373</v>
      </c>
      <c r="G17" s="32">
        <f t="shared" si="4"/>
        <v>8047</v>
      </c>
      <c r="H17" s="32">
        <f t="shared" si="4"/>
        <v>10712</v>
      </c>
      <c r="I17" s="43">
        <f t="shared" si="4"/>
        <v>13368</v>
      </c>
      <c r="J17" s="28">
        <f t="shared" si="4"/>
        <v>16015</v>
      </c>
      <c r="L17" s="82" t="str">
        <f>IF(U17&lt;&gt;"","("&amp;U17&amp;"-"&amp;U18&amp;"分)","("&amp;W17&amp;"-"&amp;W18&amp;"分)")</f>
        <v>(-分)</v>
      </c>
      <c r="M17" s="100"/>
      <c r="N17" s="59"/>
      <c r="U17" s="91" t="str">
        <f>IF(U$16&gt;0,VLOOKUP(MIN(U$5:U$9),U$5:X$9,4,FALSE),"")</f>
        <v/>
      </c>
      <c r="W17" s="91" t="str">
        <f>IF(W$16&gt;0,VLOOKUP(MIN(W$10:W$15),W$10:X$15,2,FALSE),IF($V$15=1,"4月",""))</f>
        <v/>
      </c>
    </row>
    <row r="18" spans="1:23" ht="16.5" customHeight="1" x14ac:dyDescent="0.15">
      <c r="A18" s="27">
        <f>料額表!A17</f>
        <v>13</v>
      </c>
      <c r="B18" s="28">
        <f>料額表!C17</f>
        <v>160000</v>
      </c>
      <c r="C18" s="29">
        <f>IF($B18&lt;料額表!$G$1,VLOOKUP(介護保険料!$B18,料額表!$C$5:$I$54,7,FALSE),VLOOKUP(料額表!$G$1,料額表!$C$5:$I$54,7,FALSE))</f>
        <v>2880</v>
      </c>
      <c r="D18" s="30">
        <f t="shared" si="3"/>
        <v>160000</v>
      </c>
      <c r="E18" s="30">
        <f t="shared" si="4"/>
        <v>2870</v>
      </c>
      <c r="F18" s="32">
        <f t="shared" si="4"/>
        <v>5731</v>
      </c>
      <c r="G18" s="32">
        <f t="shared" si="4"/>
        <v>8583</v>
      </c>
      <c r="H18" s="32">
        <f t="shared" si="4"/>
        <v>11426</v>
      </c>
      <c r="I18" s="43">
        <f t="shared" si="4"/>
        <v>14259</v>
      </c>
      <c r="J18" s="28">
        <f t="shared" si="4"/>
        <v>17083</v>
      </c>
      <c r="L18" s="129" t="s">
        <v>41</v>
      </c>
      <c r="M18" s="102" t="str">
        <f>IF($M$14="","",$M$16+$M$14)</f>
        <v/>
      </c>
      <c r="N18" s="59"/>
      <c r="U18" s="91" t="str">
        <f>IF(U$16&gt;0,VLOOKUP(MAX(U$5:U$9),U$5:X$9,4,FALSE),"")</f>
        <v/>
      </c>
      <c r="W18" s="91" t="str">
        <f>IF(W$16&gt;0,VLOOKUP(MAX(W$10:W$15),W$10:X$15,2,FALSE),IF($V$15=1,"9月",""))</f>
        <v/>
      </c>
    </row>
    <row r="19" spans="1:23" ht="16.5" customHeight="1" thickBot="1" x14ac:dyDescent="0.2">
      <c r="A19" s="27">
        <f>料額表!A18</f>
        <v>14</v>
      </c>
      <c r="B19" s="28">
        <f>料額表!C18</f>
        <v>170000</v>
      </c>
      <c r="C19" s="29">
        <f>IF($B19&lt;料額表!$G$1,VLOOKUP(介護保険料!$B19,料額表!$C$5:$I$54,7,FALSE),VLOOKUP(料額表!$G$1,料額表!$C$5:$I$54,7,FALSE))</f>
        <v>3060</v>
      </c>
      <c r="D19" s="30">
        <f t="shared" si="3"/>
        <v>170000</v>
      </c>
      <c r="E19" s="30">
        <f t="shared" si="4"/>
        <v>3050</v>
      </c>
      <c r="F19" s="32">
        <f t="shared" si="4"/>
        <v>6090</v>
      </c>
      <c r="G19" s="32">
        <f t="shared" si="4"/>
        <v>9120</v>
      </c>
      <c r="H19" s="32">
        <f t="shared" si="4"/>
        <v>12140</v>
      </c>
      <c r="I19" s="43">
        <f t="shared" si="4"/>
        <v>15150</v>
      </c>
      <c r="J19" s="28">
        <f t="shared" si="4"/>
        <v>18151</v>
      </c>
      <c r="L19" s="130"/>
      <c r="M19" s="103"/>
      <c r="N19" s="59"/>
    </row>
    <row r="20" spans="1:23" ht="16.5" customHeight="1" x14ac:dyDescent="0.15">
      <c r="A20" s="27">
        <f>料額表!A19</f>
        <v>15</v>
      </c>
      <c r="B20" s="28">
        <f>料額表!C19</f>
        <v>180000</v>
      </c>
      <c r="C20" s="29">
        <f>IF($B20&lt;料額表!$G$1,VLOOKUP(介護保険料!$B20,料額表!$C$5:$I$54,7,FALSE),VLOOKUP(料額表!$G$1,料額表!$C$5:$I$54,7,FALSE))</f>
        <v>3240</v>
      </c>
      <c r="D20" s="30">
        <f t="shared" si="3"/>
        <v>180000</v>
      </c>
      <c r="E20" s="30">
        <f t="shared" si="4"/>
        <v>3229</v>
      </c>
      <c r="F20" s="32">
        <f t="shared" si="4"/>
        <v>6448</v>
      </c>
      <c r="G20" s="32">
        <f t="shared" si="4"/>
        <v>9656</v>
      </c>
      <c r="H20" s="32">
        <f t="shared" si="4"/>
        <v>12854</v>
      </c>
      <c r="I20" s="43">
        <f t="shared" si="4"/>
        <v>16042</v>
      </c>
      <c r="J20" s="28">
        <f t="shared" si="4"/>
        <v>19219</v>
      </c>
    </row>
    <row r="21" spans="1:23" ht="16.5" customHeight="1" x14ac:dyDescent="0.15">
      <c r="A21" s="27">
        <f>料額表!A20</f>
        <v>16</v>
      </c>
      <c r="B21" s="28">
        <f>料額表!C20</f>
        <v>190000</v>
      </c>
      <c r="C21" s="29">
        <f>IF($B21&lt;料額表!$G$1,VLOOKUP(介護保険料!$B21,料額表!$C$5:$I$54,7,FALSE),VLOOKUP(料額表!$G$1,料額表!$C$5:$I$54,7,FALSE))</f>
        <v>3420</v>
      </c>
      <c r="D21" s="30">
        <f t="shared" si="3"/>
        <v>190000</v>
      </c>
      <c r="E21" s="30">
        <f t="shared" si="4"/>
        <v>3408</v>
      </c>
      <c r="F21" s="32">
        <f t="shared" si="4"/>
        <v>6806</v>
      </c>
      <c r="G21" s="32">
        <f t="shared" si="4"/>
        <v>10193</v>
      </c>
      <c r="H21" s="32">
        <f t="shared" si="4"/>
        <v>13568</v>
      </c>
      <c r="I21" s="43">
        <f t="shared" si="4"/>
        <v>16933</v>
      </c>
      <c r="J21" s="28">
        <f t="shared" si="4"/>
        <v>20286</v>
      </c>
    </row>
    <row r="22" spans="1:23" ht="16.5" customHeight="1" x14ac:dyDescent="0.15">
      <c r="A22" s="27">
        <f>料額表!A21</f>
        <v>17</v>
      </c>
      <c r="B22" s="28">
        <f>料額表!C21</f>
        <v>200000</v>
      </c>
      <c r="C22" s="29">
        <f>IF($B22&lt;料額表!$G$1,VLOOKUP(介護保険料!$B22,料額表!$C$5:$I$54,7,FALSE),VLOOKUP(料額表!$G$1,料額表!$C$5:$I$54,7,FALSE))</f>
        <v>3600</v>
      </c>
      <c r="D22" s="30">
        <f t="shared" si="3"/>
        <v>200000</v>
      </c>
      <c r="E22" s="30">
        <f t="shared" si="4"/>
        <v>3588</v>
      </c>
      <c r="F22" s="32">
        <f t="shared" si="4"/>
        <v>7164</v>
      </c>
      <c r="G22" s="32">
        <f t="shared" si="4"/>
        <v>10729</v>
      </c>
      <c r="H22" s="32">
        <f t="shared" si="4"/>
        <v>14282</v>
      </c>
      <c r="I22" s="43">
        <f t="shared" si="4"/>
        <v>17824</v>
      </c>
      <c r="J22" s="28">
        <f t="shared" si="4"/>
        <v>21354</v>
      </c>
    </row>
    <row r="23" spans="1:23" ht="16.5" customHeight="1" x14ac:dyDescent="0.15">
      <c r="A23" s="27">
        <f>料額表!A22</f>
        <v>18</v>
      </c>
      <c r="B23" s="28">
        <f>料額表!C22</f>
        <v>220000</v>
      </c>
      <c r="C23" s="29">
        <f>IF($B23&lt;料額表!$G$1,VLOOKUP(介護保険料!$B23,料額表!$C$5:$I$54,7,FALSE),VLOOKUP(料額表!$G$1,料額表!$C$5:$I$54,7,FALSE))</f>
        <v>3960</v>
      </c>
      <c r="D23" s="30">
        <f t="shared" si="3"/>
        <v>220000</v>
      </c>
      <c r="E23" s="30">
        <f t="shared" si="4"/>
        <v>3947</v>
      </c>
      <c r="F23" s="32">
        <f t="shared" si="4"/>
        <v>7881</v>
      </c>
      <c r="G23" s="32">
        <f t="shared" si="4"/>
        <v>11802</v>
      </c>
      <c r="H23" s="32">
        <f t="shared" si="4"/>
        <v>15711</v>
      </c>
      <c r="I23" s="43">
        <f t="shared" si="4"/>
        <v>19607</v>
      </c>
      <c r="J23" s="28">
        <f t="shared" si="4"/>
        <v>23490</v>
      </c>
    </row>
    <row r="24" spans="1:23" ht="16.5" customHeight="1" x14ac:dyDescent="0.15">
      <c r="A24" s="27">
        <f>料額表!A23</f>
        <v>19</v>
      </c>
      <c r="B24" s="28">
        <f>料額表!C23</f>
        <v>240000</v>
      </c>
      <c r="C24" s="29">
        <f>IF($B24&lt;料額表!$G$1,VLOOKUP(介護保険料!$B24,料額表!$C$5:$I$54,7,FALSE),VLOOKUP(料額表!$G$1,料額表!$C$5:$I$54,7,FALSE))</f>
        <v>4320</v>
      </c>
      <c r="D24" s="30">
        <f t="shared" si="3"/>
        <v>240000</v>
      </c>
      <c r="E24" s="30">
        <f t="shared" si="4"/>
        <v>4305</v>
      </c>
      <c r="F24" s="32">
        <f t="shared" si="4"/>
        <v>8597</v>
      </c>
      <c r="G24" s="32">
        <f t="shared" si="4"/>
        <v>12875</v>
      </c>
      <c r="H24" s="32">
        <f t="shared" si="4"/>
        <v>17139</v>
      </c>
      <c r="I24" s="43">
        <f t="shared" si="4"/>
        <v>21389</v>
      </c>
      <c r="J24" s="28">
        <f t="shared" si="4"/>
        <v>25625</v>
      </c>
      <c r="L24" s="106" t="s">
        <v>45</v>
      </c>
      <c r="M24" s="106"/>
    </row>
    <row r="25" spans="1:23" ht="16.5" customHeight="1" x14ac:dyDescent="0.15">
      <c r="A25" s="27">
        <f>料額表!A24</f>
        <v>20</v>
      </c>
      <c r="B25" s="28">
        <f>料額表!C24</f>
        <v>260000</v>
      </c>
      <c r="C25" s="29">
        <f>IF($B25&lt;料額表!$G$1,VLOOKUP(介護保険料!$B25,料額表!$C$5:$I$54,7,FALSE),VLOOKUP(料額表!$G$1,料額表!$C$5:$I$54,7,FALSE))</f>
        <v>4680</v>
      </c>
      <c r="D25" s="30">
        <f t="shared" si="3"/>
        <v>260000</v>
      </c>
      <c r="E25" s="30">
        <f t="shared" si="4"/>
        <v>4664</v>
      </c>
      <c r="F25" s="32">
        <f t="shared" si="4"/>
        <v>9314</v>
      </c>
      <c r="G25" s="32">
        <f t="shared" si="4"/>
        <v>13948</v>
      </c>
      <c r="H25" s="32">
        <f t="shared" si="4"/>
        <v>18567</v>
      </c>
      <c r="I25" s="43">
        <f t="shared" si="4"/>
        <v>23171</v>
      </c>
      <c r="J25" s="28">
        <f t="shared" si="4"/>
        <v>27761</v>
      </c>
      <c r="L25" s="106"/>
      <c r="M25" s="106"/>
    </row>
    <row r="26" spans="1:23" ht="16.5" customHeight="1" x14ac:dyDescent="0.15">
      <c r="A26" s="27">
        <f>料額表!A25</f>
        <v>21</v>
      </c>
      <c r="B26" s="28">
        <f>料額表!C25</f>
        <v>280000</v>
      </c>
      <c r="C26" s="29">
        <f>IF($B26&lt;料額表!$G$1,VLOOKUP(介護保険料!$B26,料額表!$C$5:$I$54,7,FALSE),VLOOKUP(料額表!$G$1,料額表!$C$5:$I$54,7,FALSE))</f>
        <v>5040</v>
      </c>
      <c r="D26" s="30">
        <f t="shared" si="3"/>
        <v>280000</v>
      </c>
      <c r="E26" s="30">
        <f t="shared" si="4"/>
        <v>5023</v>
      </c>
      <c r="F26" s="32">
        <f t="shared" si="4"/>
        <v>10030</v>
      </c>
      <c r="G26" s="32">
        <f t="shared" si="4"/>
        <v>15021</v>
      </c>
      <c r="H26" s="32">
        <f t="shared" si="4"/>
        <v>19996</v>
      </c>
      <c r="I26" s="43">
        <f t="shared" si="4"/>
        <v>24954</v>
      </c>
      <c r="J26" s="28">
        <f t="shared" si="4"/>
        <v>29896</v>
      </c>
      <c r="L26" s="106"/>
      <c r="M26" s="106"/>
    </row>
    <row r="27" spans="1:23" ht="16.5" customHeight="1" x14ac:dyDescent="0.15">
      <c r="A27" s="27">
        <f>料額表!A26</f>
        <v>22</v>
      </c>
      <c r="B27" s="28">
        <f>料額表!C26</f>
        <v>300000</v>
      </c>
      <c r="C27" s="29">
        <f>IF($B27&lt;料額表!$G$1,VLOOKUP(介護保険料!$B27,料額表!$C$5:$I$54,7,FALSE),VLOOKUP(料額表!$G$1,料額表!$C$5:$I$54,7,FALSE))</f>
        <v>5400</v>
      </c>
      <c r="D27" s="30">
        <f t="shared" si="3"/>
        <v>300000</v>
      </c>
      <c r="E27" s="30">
        <f t="shared" si="4"/>
        <v>5382</v>
      </c>
      <c r="F27" s="32">
        <f t="shared" si="4"/>
        <v>10747</v>
      </c>
      <c r="G27" s="32">
        <f t="shared" si="4"/>
        <v>16094</v>
      </c>
      <c r="H27" s="32">
        <f t="shared" si="4"/>
        <v>21424</v>
      </c>
      <c r="I27" s="43">
        <f t="shared" si="4"/>
        <v>26736</v>
      </c>
      <c r="J27" s="28">
        <f t="shared" si="4"/>
        <v>32031</v>
      </c>
      <c r="L27" s="106"/>
      <c r="M27" s="106"/>
    </row>
    <row r="28" spans="1:23" ht="16.5" customHeight="1" x14ac:dyDescent="0.15">
      <c r="A28" s="27">
        <f>料額表!A27</f>
        <v>23</v>
      </c>
      <c r="B28" s="28">
        <f>料額表!C27</f>
        <v>320000</v>
      </c>
      <c r="C28" s="29">
        <f>IF($B28&lt;料額表!$G$1,VLOOKUP(介護保険料!$B28,料額表!$C$5:$I$54,7,FALSE),VLOOKUP(料額表!$G$1,料額表!$C$5:$I$54,7,FALSE))</f>
        <v>5760</v>
      </c>
      <c r="D28" s="30">
        <f t="shared" si="3"/>
        <v>320000</v>
      </c>
      <c r="E28" s="30">
        <f t="shared" si="4"/>
        <v>5741</v>
      </c>
      <c r="F28" s="32">
        <f t="shared" si="4"/>
        <v>11463</v>
      </c>
      <c r="G28" s="32">
        <f t="shared" si="4"/>
        <v>17167</v>
      </c>
      <c r="H28" s="32">
        <f t="shared" si="4"/>
        <v>22852</v>
      </c>
      <c r="I28" s="43">
        <f t="shared" si="4"/>
        <v>28519</v>
      </c>
      <c r="J28" s="28">
        <f t="shared" si="4"/>
        <v>34167</v>
      </c>
      <c r="L28" s="106"/>
      <c r="M28" s="106"/>
    </row>
    <row r="29" spans="1:23" ht="16.5" customHeight="1" x14ac:dyDescent="0.15">
      <c r="A29" s="27">
        <f>料額表!A28</f>
        <v>24</v>
      </c>
      <c r="B29" s="28">
        <f>料額表!C28</f>
        <v>340000</v>
      </c>
      <c r="C29" s="29">
        <f>IF($B29&lt;料額表!$G$1,VLOOKUP(介護保険料!$B29,料額表!$C$5:$I$54,7,FALSE),VLOOKUP(料額表!$G$1,料額表!$C$5:$I$54,7,FALSE))</f>
        <v>6120</v>
      </c>
      <c r="D29" s="30">
        <f t="shared" si="3"/>
        <v>340000</v>
      </c>
      <c r="E29" s="30">
        <f t="shared" si="4"/>
        <v>6100</v>
      </c>
      <c r="F29" s="32">
        <f t="shared" si="4"/>
        <v>12180</v>
      </c>
      <c r="G29" s="32">
        <f t="shared" si="4"/>
        <v>18240</v>
      </c>
      <c r="H29" s="32">
        <f t="shared" si="4"/>
        <v>24280</v>
      </c>
      <c r="I29" s="43">
        <f t="shared" si="4"/>
        <v>30301</v>
      </c>
      <c r="J29" s="28">
        <f t="shared" si="4"/>
        <v>36302</v>
      </c>
      <c r="L29" s="106"/>
      <c r="M29" s="106"/>
    </row>
    <row r="30" spans="1:23" ht="16.5" customHeight="1" x14ac:dyDescent="0.15">
      <c r="A30" s="27">
        <f>料額表!A29</f>
        <v>25</v>
      </c>
      <c r="B30" s="28">
        <f>料額表!C29</f>
        <v>360000</v>
      </c>
      <c r="C30" s="29">
        <f>IF($B30&lt;料額表!$G$1,VLOOKUP(介護保険料!$B30,料額表!$C$5:$I$54,7,FALSE),VLOOKUP(料額表!$G$1,料額表!$C$5:$I$54,7,FALSE))</f>
        <v>6480</v>
      </c>
      <c r="D30" s="30">
        <f t="shared" si="3"/>
        <v>360000</v>
      </c>
      <c r="E30" s="30">
        <f t="shared" si="4"/>
        <v>6458</v>
      </c>
      <c r="F30" s="32">
        <f t="shared" si="4"/>
        <v>12896</v>
      </c>
      <c r="G30" s="32">
        <f t="shared" si="4"/>
        <v>19313</v>
      </c>
      <c r="H30" s="32">
        <f t="shared" si="4"/>
        <v>25709</v>
      </c>
      <c r="I30" s="43">
        <f t="shared" si="4"/>
        <v>32084</v>
      </c>
      <c r="J30" s="28">
        <f t="shared" si="4"/>
        <v>38438</v>
      </c>
      <c r="L30" s="106"/>
      <c r="M30" s="106"/>
    </row>
    <row r="31" spans="1:23" ht="16.5" customHeight="1" x14ac:dyDescent="0.15">
      <c r="A31" s="27">
        <f>料額表!A30</f>
        <v>26</v>
      </c>
      <c r="B31" s="28">
        <f>料額表!C30</f>
        <v>380000</v>
      </c>
      <c r="C31" s="29">
        <f>IF($B31&lt;料額表!$G$1,VLOOKUP(介護保険料!$B31,料額表!$C$5:$I$54,7,FALSE),VLOOKUP(料額表!$G$1,料額表!$C$5:$I$54,7,FALSE))</f>
        <v>6840</v>
      </c>
      <c r="D31" s="30">
        <f t="shared" si="3"/>
        <v>380000</v>
      </c>
      <c r="E31" s="30">
        <f t="shared" si="4"/>
        <v>6817</v>
      </c>
      <c r="F31" s="32">
        <f t="shared" si="4"/>
        <v>13613</v>
      </c>
      <c r="G31" s="32">
        <f t="shared" si="4"/>
        <v>20386</v>
      </c>
      <c r="H31" s="32">
        <f t="shared" si="4"/>
        <v>27137</v>
      </c>
      <c r="I31" s="43">
        <f t="shared" si="4"/>
        <v>33866</v>
      </c>
      <c r="J31" s="28">
        <f t="shared" si="4"/>
        <v>40573</v>
      </c>
      <c r="L31" s="106"/>
      <c r="M31" s="106"/>
    </row>
    <row r="32" spans="1:23" ht="16.5" customHeight="1" x14ac:dyDescent="0.15">
      <c r="A32" s="27">
        <f>IF(B32&gt;0,A31+1,"")</f>
        <v>27</v>
      </c>
      <c r="B32" s="28">
        <f>IF(料額表!$C31&lt;=料額表!$G$1,料額表!$C31,"")</f>
        <v>410000</v>
      </c>
      <c r="C32" s="29">
        <f>IF($B32&lt;料額表!$G$1,VLOOKUP(介護保険料!$B32,料額表!$C$5:$I$54,7,FALSE),VLOOKUP(料額表!$G$1,料額表!$C$5:$I$54,7,FALSE))</f>
        <v>7380</v>
      </c>
      <c r="D32" s="30">
        <f t="shared" si="3"/>
        <v>410000</v>
      </c>
      <c r="E32" s="30">
        <f t="shared" si="4"/>
        <v>7355</v>
      </c>
      <c r="F32" s="32">
        <f t="shared" si="4"/>
        <v>14687</v>
      </c>
      <c r="G32" s="32">
        <f t="shared" si="4"/>
        <v>21995</v>
      </c>
      <c r="H32" s="32">
        <f t="shared" si="4"/>
        <v>29279</v>
      </c>
      <c r="I32" s="43">
        <f t="shared" si="4"/>
        <v>36540</v>
      </c>
      <c r="J32" s="28">
        <f t="shared" si="4"/>
        <v>43777</v>
      </c>
      <c r="L32" s="106"/>
      <c r="M32" s="106"/>
    </row>
    <row r="33" spans="1:15" ht="16.5" customHeight="1" x14ac:dyDescent="0.15">
      <c r="A33" s="27">
        <f t="shared" ref="A33:A35" si="8">IF(B33&gt;0,A32+1,"")</f>
        <v>28</v>
      </c>
      <c r="B33" s="28">
        <f>IF(料額表!$C32&lt;=料額表!$G$1,料額表!$C32,"")</f>
        <v>440000</v>
      </c>
      <c r="C33" s="29">
        <f>IF($B33&lt;料額表!$G$1,VLOOKUP(介護保険料!$B33,料額表!$C$5:$I$54,7,FALSE),VLOOKUP(料額表!$G$1,料額表!$C$5:$I$54,7,FALSE))</f>
        <v>7920</v>
      </c>
      <c r="D33" s="30">
        <f t="shared" si="3"/>
        <v>440000</v>
      </c>
      <c r="E33" s="30">
        <f t="shared" si="4"/>
        <v>7894</v>
      </c>
      <c r="F33" s="32">
        <f t="shared" si="4"/>
        <v>15762</v>
      </c>
      <c r="G33" s="32">
        <f t="shared" si="4"/>
        <v>23605</v>
      </c>
      <c r="H33" s="32">
        <f t="shared" si="4"/>
        <v>31422</v>
      </c>
      <c r="I33" s="43">
        <f t="shared" si="4"/>
        <v>39214</v>
      </c>
      <c r="J33" s="28">
        <f t="shared" si="4"/>
        <v>46980</v>
      </c>
      <c r="L33" s="106"/>
      <c r="M33" s="106"/>
    </row>
    <row r="34" spans="1:15" ht="16.5" customHeight="1" x14ac:dyDescent="0.15">
      <c r="A34" s="27">
        <f t="shared" si="8"/>
        <v>29</v>
      </c>
      <c r="B34" s="28">
        <f>IF(料額表!$C33&lt;=料額表!$G$1,料額表!$C33,"")</f>
        <v>470000</v>
      </c>
      <c r="C34" s="29">
        <f>IF($B34&lt;料額表!$G$1,VLOOKUP(介護保険料!$B34,料額表!$C$5:$I$54,7,FALSE),VLOOKUP(料額表!$G$1,料額表!$C$5:$I$54,7,FALSE))</f>
        <v>8460</v>
      </c>
      <c r="D34" s="30">
        <f t="shared" si="3"/>
        <v>470000</v>
      </c>
      <c r="E34" s="30">
        <f t="shared" si="4"/>
        <v>8432</v>
      </c>
      <c r="F34" s="32">
        <f t="shared" si="4"/>
        <v>16837</v>
      </c>
      <c r="G34" s="32">
        <f t="shared" si="4"/>
        <v>25214</v>
      </c>
      <c r="H34" s="32">
        <f t="shared" si="4"/>
        <v>33564</v>
      </c>
      <c r="I34" s="43">
        <f t="shared" si="4"/>
        <v>41887</v>
      </c>
      <c r="J34" s="28">
        <f t="shared" si="4"/>
        <v>50183</v>
      </c>
      <c r="L34" s="106"/>
      <c r="M34" s="106"/>
    </row>
    <row r="35" spans="1:15" ht="16.5" customHeight="1" x14ac:dyDescent="0.15">
      <c r="A35" s="27">
        <f t="shared" si="8"/>
        <v>30</v>
      </c>
      <c r="B35" s="28">
        <f>IF(料額表!$C34&lt;=料額表!$G$1,料額表!$C34,"")</f>
        <v>500000</v>
      </c>
      <c r="C35" s="29">
        <f>IF($B35&lt;料額表!$G$1,VLOOKUP(介護保険料!$B35,料額表!$C$5:$I$54,7,FALSE),VLOOKUP(料額表!$G$1,料額表!$C$5:$I$54,7,FALSE))</f>
        <v>9000</v>
      </c>
      <c r="D35" s="30">
        <f t="shared" si="3"/>
        <v>500000</v>
      </c>
      <c r="E35" s="30">
        <f t="shared" si="4"/>
        <v>8970</v>
      </c>
      <c r="F35" s="32">
        <f t="shared" si="4"/>
        <v>17911</v>
      </c>
      <c r="G35" s="32">
        <f t="shared" si="4"/>
        <v>26824</v>
      </c>
      <c r="H35" s="32">
        <f t="shared" si="4"/>
        <v>35707</v>
      </c>
      <c r="I35" s="43">
        <f t="shared" si="4"/>
        <v>44561</v>
      </c>
      <c r="J35" s="28">
        <f t="shared" si="4"/>
        <v>53386</v>
      </c>
    </row>
    <row r="36" spans="1:15" ht="16.5" customHeight="1" x14ac:dyDescent="0.15">
      <c r="A36" s="27">
        <f>IF(B36="","",A35+1)</f>
        <v>31</v>
      </c>
      <c r="B36" s="28">
        <f>IF(料額表!$C35&lt;=料額表!$G$1,料額表!$C35,"")</f>
        <v>530000</v>
      </c>
      <c r="C36" s="29">
        <f>IF($B36&lt;料額表!$G$1,VLOOKUP(介護保険料!$B36,料額表!$C$5:$I$54,7,FALSE),VLOOKUP(料額表!$G$1,料額表!$C$5:$I$54,7,FALSE))</f>
        <v>9540</v>
      </c>
      <c r="D36" s="30">
        <f t="shared" si="3"/>
        <v>530000</v>
      </c>
      <c r="E36" s="30">
        <f t="shared" ref="E36:J39" si="9">ROUNDDOWN($C36*E$1,0)</f>
        <v>9508</v>
      </c>
      <c r="F36" s="32">
        <f t="shared" si="9"/>
        <v>18986</v>
      </c>
      <c r="G36" s="32">
        <f t="shared" si="9"/>
        <v>28433</v>
      </c>
      <c r="H36" s="32">
        <f t="shared" si="9"/>
        <v>37849</v>
      </c>
      <c r="I36" s="43">
        <f t="shared" si="9"/>
        <v>47235</v>
      </c>
      <c r="J36" s="28">
        <f t="shared" si="9"/>
        <v>56589</v>
      </c>
    </row>
    <row r="37" spans="1:15" ht="16.5" customHeight="1" x14ac:dyDescent="0.15">
      <c r="A37" s="27">
        <f t="shared" ref="A37:A40" si="10">IF(B37="","",A36+1)</f>
        <v>32</v>
      </c>
      <c r="B37" s="28">
        <v>560000</v>
      </c>
      <c r="C37" s="29">
        <f>IF($B37&lt;料額表!$G$1,VLOOKUP(介護保険料!$B37,料額表!$C$5:$I$54,7,FALSE),VLOOKUP(料額表!$G$1,料額表!$C$5:$I$54,7,FALSE))</f>
        <v>10080</v>
      </c>
      <c r="D37" s="30">
        <f t="shared" ref="D37" si="11">B37</f>
        <v>560000</v>
      </c>
      <c r="E37" s="30">
        <f t="shared" si="9"/>
        <v>10047</v>
      </c>
      <c r="F37" s="32">
        <f t="shared" si="9"/>
        <v>20061</v>
      </c>
      <c r="G37" s="32">
        <f t="shared" si="9"/>
        <v>30043</v>
      </c>
      <c r="H37" s="32">
        <f t="shared" si="9"/>
        <v>39992</v>
      </c>
      <c r="I37" s="43">
        <f t="shared" si="9"/>
        <v>49908</v>
      </c>
      <c r="J37" s="28">
        <f t="shared" si="9"/>
        <v>59793</v>
      </c>
    </row>
    <row r="38" spans="1:15" ht="16.5" customHeight="1" x14ac:dyDescent="0.15">
      <c r="A38" s="27">
        <f t="shared" si="10"/>
        <v>33</v>
      </c>
      <c r="B38" s="28">
        <v>590000</v>
      </c>
      <c r="C38" s="29">
        <f>IF($B38&lt;料額表!$G$1,VLOOKUP(介護保険料!$B38,料額表!$C$5:$I$54,7,FALSE),VLOOKUP(料額表!$G$1,料額表!$C$5:$I$54,7,FALSE))</f>
        <v>10620</v>
      </c>
      <c r="D38" s="30">
        <f t="shared" ref="D38:D39" si="12">B38</f>
        <v>590000</v>
      </c>
      <c r="E38" s="30">
        <f t="shared" si="9"/>
        <v>10585</v>
      </c>
      <c r="F38" s="32">
        <f t="shared" si="9"/>
        <v>21136</v>
      </c>
      <c r="G38" s="32">
        <f t="shared" si="9"/>
        <v>31652</v>
      </c>
      <c r="H38" s="32">
        <f t="shared" si="9"/>
        <v>42134</v>
      </c>
      <c r="I38" s="43">
        <f t="shared" si="9"/>
        <v>52582</v>
      </c>
      <c r="J38" s="28">
        <f t="shared" si="9"/>
        <v>62996</v>
      </c>
    </row>
    <row r="39" spans="1:15" ht="16.5" customHeight="1" x14ac:dyDescent="0.15">
      <c r="A39" s="27">
        <f t="shared" si="10"/>
        <v>34</v>
      </c>
      <c r="B39" s="28">
        <v>620000</v>
      </c>
      <c r="C39" s="29">
        <f>IF($B39&lt;料額表!$G$1,VLOOKUP(介護保険料!$B39,料額表!$C$5:$I$54,7,FALSE),VLOOKUP(料額表!$G$1,料額表!$C$5:$I$54,7,FALSE))</f>
        <v>10620</v>
      </c>
      <c r="D39" s="30">
        <f t="shared" si="12"/>
        <v>620000</v>
      </c>
      <c r="E39" s="30">
        <f t="shared" si="9"/>
        <v>10585</v>
      </c>
      <c r="F39" s="32">
        <f t="shared" si="9"/>
        <v>21136</v>
      </c>
      <c r="G39" s="32">
        <f t="shared" si="9"/>
        <v>31652</v>
      </c>
      <c r="H39" s="32">
        <f t="shared" si="9"/>
        <v>42134</v>
      </c>
      <c r="I39" s="43">
        <f t="shared" si="9"/>
        <v>52582</v>
      </c>
      <c r="J39" s="28">
        <f t="shared" si="9"/>
        <v>62996</v>
      </c>
    </row>
    <row r="40" spans="1:15" ht="16.5" customHeight="1" thickBot="1" x14ac:dyDescent="0.2">
      <c r="A40" s="19">
        <f t="shared" si="10"/>
        <v>35</v>
      </c>
      <c r="B40" s="22">
        <v>650000</v>
      </c>
      <c r="C40" s="21">
        <f>IF($B40&lt;料額表!$G$1,VLOOKUP(介護保険料!$B40,料額表!$C$5:$I$54,7,FALSE),VLOOKUP(料額表!$G$1,料額表!$C$5:$I$54,7,FALSE))</f>
        <v>10620</v>
      </c>
      <c r="D40" s="14">
        <f t="shared" si="3"/>
        <v>650000</v>
      </c>
      <c r="E40" s="14">
        <f t="shared" ref="E40:J40" si="13">ROUNDDOWN($C40*E$1,0)</f>
        <v>10585</v>
      </c>
      <c r="F40" s="33">
        <f t="shared" si="13"/>
        <v>21136</v>
      </c>
      <c r="G40" s="33">
        <f t="shared" si="13"/>
        <v>31652</v>
      </c>
      <c r="H40" s="33">
        <f t="shared" si="13"/>
        <v>42134</v>
      </c>
      <c r="I40" s="44">
        <f t="shared" si="13"/>
        <v>52582</v>
      </c>
      <c r="J40" s="22">
        <f t="shared" si="13"/>
        <v>62996</v>
      </c>
    </row>
    <row r="41" spans="1:15" ht="10.5" customHeight="1" x14ac:dyDescent="0.15">
      <c r="A41" s="20"/>
      <c r="B41" s="20"/>
      <c r="C41" s="20"/>
      <c r="D41" s="20"/>
      <c r="E41" s="20"/>
      <c r="F41" s="20"/>
      <c r="G41" s="20"/>
      <c r="H41" s="20"/>
      <c r="I41" s="20"/>
      <c r="J41" s="20"/>
      <c r="N41" s="65"/>
      <c r="O41" s="65"/>
    </row>
    <row r="42" spans="1:15" ht="16.5" customHeight="1" x14ac:dyDescent="0.15">
      <c r="A42" s="61" t="s">
        <v>75</v>
      </c>
      <c r="N42" s="65"/>
      <c r="O42" s="65"/>
    </row>
    <row r="43" spans="1:15" ht="16.5" customHeight="1" x14ac:dyDescent="0.15">
      <c r="A43" s="61" t="str">
        <f>"　 被保険者の平均の標準報酬月額 "&amp;TEXT(料額表!$G$1,"#,##0")&amp;"円 のうち低い額となります。"</f>
        <v>　 被保険者の平均の標準報酬月額 590,000円 のうち低い額となります。</v>
      </c>
    </row>
    <row r="44" spans="1:15" ht="9" customHeight="1" x14ac:dyDescent="0.15"/>
    <row r="45" spans="1:15" ht="16.5" customHeight="1" x14ac:dyDescent="0.15">
      <c r="A45" s="97" t="s">
        <v>76</v>
      </c>
      <c r="B45" s="97"/>
      <c r="C45" s="97"/>
      <c r="D45" s="97"/>
      <c r="E45" s="97"/>
      <c r="F45" s="97"/>
      <c r="G45" s="97"/>
      <c r="H45" s="97"/>
      <c r="I45" s="97"/>
      <c r="J45" s="97"/>
    </row>
    <row r="46" spans="1:15" ht="16.5" customHeight="1" x14ac:dyDescent="0.15">
      <c r="A46" s="97"/>
      <c r="B46" s="97"/>
      <c r="C46" s="97"/>
      <c r="D46" s="97"/>
      <c r="E46" s="97"/>
      <c r="F46" s="97"/>
      <c r="G46" s="97"/>
      <c r="H46" s="97"/>
      <c r="I46" s="97"/>
      <c r="J46" s="97"/>
    </row>
    <row r="47" spans="1:15" ht="16.5" customHeight="1" x14ac:dyDescent="0.15">
      <c r="A47" s="97"/>
      <c r="B47" s="97"/>
      <c r="C47" s="97"/>
      <c r="D47" s="97"/>
      <c r="E47" s="97"/>
      <c r="F47" s="97"/>
      <c r="G47" s="97"/>
      <c r="H47" s="97"/>
      <c r="I47" s="97"/>
      <c r="J47" s="97"/>
    </row>
    <row r="48" spans="1:15" ht="16.5" customHeight="1" x14ac:dyDescent="0.15">
      <c r="A48" s="97"/>
      <c r="B48" s="97"/>
      <c r="C48" s="97"/>
      <c r="D48" s="97"/>
      <c r="E48" s="97"/>
      <c r="F48" s="97"/>
      <c r="G48" s="97"/>
      <c r="H48" s="97"/>
      <c r="I48" s="97"/>
      <c r="J48" s="97"/>
      <c r="L48" s="98" t="s">
        <v>77</v>
      </c>
      <c r="M48" s="98"/>
    </row>
  </sheetData>
  <sheetProtection algorithmName="SHA-512" hashValue="r0J9SC9ENnnjqurgPFRXF4jCGOm6IZA3S5B+NGcYLQRdlZM13p+hAio9wrT/nk26Q+1cBidoCrjHaFsx990H9Q==" saltValue="4rjGdlPS183KHMWKOXcHKQ==" spinCount="100000" sheet="1" objects="1" scenarios="1"/>
  <mergeCells count="20">
    <mergeCell ref="L4:M4"/>
    <mergeCell ref="L2:M2"/>
    <mergeCell ref="F2:G2"/>
    <mergeCell ref="A3:C3"/>
    <mergeCell ref="A4:B4"/>
    <mergeCell ref="C4:C5"/>
    <mergeCell ref="E4:J4"/>
    <mergeCell ref="L6:L7"/>
    <mergeCell ref="M6:M7"/>
    <mergeCell ref="L8:L9"/>
    <mergeCell ref="M8:M9"/>
    <mergeCell ref="L13:M13"/>
    <mergeCell ref="A45:J48"/>
    <mergeCell ref="L48:M48"/>
    <mergeCell ref="L24:M34"/>
    <mergeCell ref="K10:M10"/>
    <mergeCell ref="M14:M15"/>
    <mergeCell ref="M16:M17"/>
    <mergeCell ref="L18:L19"/>
    <mergeCell ref="M18:M19"/>
  </mergeCells>
  <phoneticPr fontId="2"/>
  <conditionalFormatting sqref="L24:M34">
    <cfRule type="expression" dxfId="1" priority="2">
      <formula>$M$6*$M$8&gt;0</formula>
    </cfRule>
  </conditionalFormatting>
  <conditionalFormatting sqref="L41:M42">
    <cfRule type="expression" dxfId="0" priority="1">
      <formula>$M$6*$M$8&gt;0</formula>
    </cfRule>
  </conditionalFormatting>
  <printOptions horizontalCentered="1" verticalCentered="1"/>
  <pageMargins left="0" right="0" top="0.39370078740157483" bottom="0.39370078740157483"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4"/>
  <sheetViews>
    <sheetView topLeftCell="A29" zoomScaleNormal="100" workbookViewId="0">
      <selection activeCell="C36" sqref="C36:C39"/>
    </sheetView>
  </sheetViews>
  <sheetFormatPr defaultRowHeight="13.5" x14ac:dyDescent="0.15"/>
  <cols>
    <col min="1" max="1" width="6" customWidth="1"/>
    <col min="2" max="2" width="3" customWidth="1"/>
    <col min="3" max="3" width="13" customWidth="1"/>
    <col min="4" max="9" width="10.625" customWidth="1"/>
    <col min="10" max="10" width="13" customWidth="1"/>
    <col min="13" max="13" width="9.625" customWidth="1"/>
  </cols>
  <sheetData>
    <row r="1" spans="1:13" ht="22.5" customHeight="1" x14ac:dyDescent="0.15">
      <c r="A1" s="2" t="s">
        <v>4</v>
      </c>
      <c r="B1" s="67">
        <v>7</v>
      </c>
      <c r="C1" s="1" t="s">
        <v>3</v>
      </c>
      <c r="E1" s="156" t="s">
        <v>13</v>
      </c>
      <c r="F1" s="156"/>
      <c r="G1" s="68">
        <v>590000</v>
      </c>
      <c r="H1" s="1" t="s">
        <v>14</v>
      </c>
      <c r="L1" t="str">
        <f>A1&amp;B1&amp;"年"</f>
        <v>令和7年</v>
      </c>
      <c r="M1" s="15">
        <f>VALUE(L1&amp;"4月1日")</f>
        <v>45748</v>
      </c>
    </row>
    <row r="2" spans="1:13" ht="15" customHeight="1" thickBot="1" x14ac:dyDescent="0.2">
      <c r="A2" s="4"/>
      <c r="B2" s="3"/>
      <c r="L2" s="8" t="str">
        <f>A1&amp;B1+1&amp;"年"</f>
        <v>令和8年</v>
      </c>
      <c r="M2" s="15">
        <f>VALUE(L2&amp;"3月31日")</f>
        <v>46112</v>
      </c>
    </row>
    <row r="3" spans="1:13" ht="20.25" customHeight="1" x14ac:dyDescent="0.15">
      <c r="A3" s="152" t="s">
        <v>5</v>
      </c>
      <c r="B3" s="153"/>
      <c r="C3" s="157" t="s">
        <v>6</v>
      </c>
      <c r="D3" s="149" t="s">
        <v>10</v>
      </c>
      <c r="E3" s="150"/>
      <c r="F3" s="151"/>
      <c r="G3" s="149" t="s">
        <v>11</v>
      </c>
      <c r="H3" s="150"/>
      <c r="I3" s="151"/>
      <c r="J3" s="145" t="s">
        <v>12</v>
      </c>
    </row>
    <row r="4" spans="1:13" ht="20.25" customHeight="1" thickBot="1" x14ac:dyDescent="0.2">
      <c r="A4" s="154"/>
      <c r="B4" s="155"/>
      <c r="C4" s="158"/>
      <c r="D4" s="6" t="s">
        <v>7</v>
      </c>
      <c r="E4" s="5" t="s">
        <v>8</v>
      </c>
      <c r="F4" s="7" t="s">
        <v>9</v>
      </c>
      <c r="G4" s="6" t="s">
        <v>1</v>
      </c>
      <c r="H4" s="5" t="s">
        <v>0</v>
      </c>
      <c r="I4" s="7" t="s">
        <v>2</v>
      </c>
      <c r="J4" s="146"/>
    </row>
    <row r="5" spans="1:13" s="9" customFormat="1" ht="20.25" customHeight="1" x14ac:dyDescent="0.15">
      <c r="A5" s="143">
        <v>1</v>
      </c>
      <c r="B5" s="144"/>
      <c r="C5" s="69">
        <v>58000</v>
      </c>
      <c r="D5" s="70">
        <v>1935</v>
      </c>
      <c r="E5" s="71">
        <v>3285</v>
      </c>
      <c r="F5" s="72">
        <v>5220</v>
      </c>
      <c r="G5" s="70">
        <v>522</v>
      </c>
      <c r="H5" s="71">
        <v>522</v>
      </c>
      <c r="I5" s="72">
        <v>1044</v>
      </c>
      <c r="J5" s="10">
        <f>C5</f>
        <v>58000</v>
      </c>
    </row>
    <row r="6" spans="1:13" s="9" customFormat="1" ht="20.25" customHeight="1" x14ac:dyDescent="0.15">
      <c r="A6" s="143">
        <v>2</v>
      </c>
      <c r="B6" s="144"/>
      <c r="C6" s="73">
        <v>68000</v>
      </c>
      <c r="D6" s="70">
        <v>2269</v>
      </c>
      <c r="E6" s="71">
        <v>3851</v>
      </c>
      <c r="F6" s="72">
        <v>6120</v>
      </c>
      <c r="G6" s="70">
        <v>612</v>
      </c>
      <c r="H6" s="71">
        <v>612</v>
      </c>
      <c r="I6" s="72">
        <v>1224</v>
      </c>
      <c r="J6" s="11">
        <f t="shared" ref="J6:J54" si="0">C6</f>
        <v>68000</v>
      </c>
    </row>
    <row r="7" spans="1:13" s="9" customFormat="1" ht="20.25" customHeight="1" x14ac:dyDescent="0.15">
      <c r="A7" s="143">
        <v>3</v>
      </c>
      <c r="B7" s="144"/>
      <c r="C7" s="73">
        <v>78000</v>
      </c>
      <c r="D7" s="70">
        <v>2602</v>
      </c>
      <c r="E7" s="71">
        <v>4418</v>
      </c>
      <c r="F7" s="72">
        <v>7020</v>
      </c>
      <c r="G7" s="70">
        <v>702</v>
      </c>
      <c r="H7" s="71">
        <v>702</v>
      </c>
      <c r="I7" s="72">
        <v>1404</v>
      </c>
      <c r="J7" s="11">
        <f t="shared" si="0"/>
        <v>78000</v>
      </c>
    </row>
    <row r="8" spans="1:13" s="9" customFormat="1" ht="20.25" customHeight="1" x14ac:dyDescent="0.15">
      <c r="A8" s="143">
        <v>4</v>
      </c>
      <c r="B8" s="144"/>
      <c r="C8" s="73">
        <v>88000</v>
      </c>
      <c r="D8" s="70">
        <v>2936</v>
      </c>
      <c r="E8" s="71">
        <v>4984</v>
      </c>
      <c r="F8" s="72">
        <v>7920</v>
      </c>
      <c r="G8" s="70">
        <v>792</v>
      </c>
      <c r="H8" s="71">
        <v>792</v>
      </c>
      <c r="I8" s="72">
        <v>1584</v>
      </c>
      <c r="J8" s="11">
        <f t="shared" si="0"/>
        <v>88000</v>
      </c>
    </row>
    <row r="9" spans="1:13" s="9" customFormat="1" ht="20.25" customHeight="1" x14ac:dyDescent="0.15">
      <c r="A9" s="143">
        <v>5</v>
      </c>
      <c r="B9" s="144"/>
      <c r="C9" s="73">
        <v>98000</v>
      </c>
      <c r="D9" s="70">
        <v>3270</v>
      </c>
      <c r="E9" s="71">
        <v>5550</v>
      </c>
      <c r="F9" s="72">
        <v>8820</v>
      </c>
      <c r="G9" s="70">
        <v>882</v>
      </c>
      <c r="H9" s="71">
        <v>882</v>
      </c>
      <c r="I9" s="72">
        <v>1764</v>
      </c>
      <c r="J9" s="11">
        <f t="shared" si="0"/>
        <v>98000</v>
      </c>
    </row>
    <row r="10" spans="1:13" s="9" customFormat="1" ht="20.25" customHeight="1" x14ac:dyDescent="0.15">
      <c r="A10" s="143">
        <v>6</v>
      </c>
      <c r="B10" s="144"/>
      <c r="C10" s="73">
        <v>104000</v>
      </c>
      <c r="D10" s="70">
        <v>3470</v>
      </c>
      <c r="E10" s="71">
        <v>5890</v>
      </c>
      <c r="F10" s="72">
        <v>9360</v>
      </c>
      <c r="G10" s="70">
        <v>936</v>
      </c>
      <c r="H10" s="71">
        <v>936</v>
      </c>
      <c r="I10" s="72">
        <v>1872</v>
      </c>
      <c r="J10" s="11">
        <f t="shared" si="0"/>
        <v>104000</v>
      </c>
    </row>
    <row r="11" spans="1:13" s="9" customFormat="1" ht="20.25" customHeight="1" x14ac:dyDescent="0.15">
      <c r="A11" s="143">
        <v>7</v>
      </c>
      <c r="B11" s="144"/>
      <c r="C11" s="73">
        <v>110000</v>
      </c>
      <c r="D11" s="70">
        <v>3670</v>
      </c>
      <c r="E11" s="71">
        <v>6230</v>
      </c>
      <c r="F11" s="72">
        <v>9900</v>
      </c>
      <c r="G11" s="70">
        <v>990</v>
      </c>
      <c r="H11" s="71">
        <v>990</v>
      </c>
      <c r="I11" s="72">
        <v>1980</v>
      </c>
      <c r="J11" s="11">
        <f t="shared" si="0"/>
        <v>110000</v>
      </c>
    </row>
    <row r="12" spans="1:13" s="9" customFormat="1" ht="20.25" customHeight="1" x14ac:dyDescent="0.15">
      <c r="A12" s="143">
        <v>8</v>
      </c>
      <c r="B12" s="144"/>
      <c r="C12" s="73">
        <v>118000</v>
      </c>
      <c r="D12" s="70">
        <v>3937</v>
      </c>
      <c r="E12" s="71">
        <v>6683</v>
      </c>
      <c r="F12" s="72">
        <v>10620</v>
      </c>
      <c r="G12" s="70">
        <v>1062</v>
      </c>
      <c r="H12" s="71">
        <v>1062</v>
      </c>
      <c r="I12" s="72">
        <v>2124</v>
      </c>
      <c r="J12" s="11">
        <f t="shared" si="0"/>
        <v>118000</v>
      </c>
    </row>
    <row r="13" spans="1:13" s="9" customFormat="1" ht="20.25" customHeight="1" x14ac:dyDescent="0.15">
      <c r="A13" s="143">
        <v>9</v>
      </c>
      <c r="B13" s="144"/>
      <c r="C13" s="73">
        <v>126000</v>
      </c>
      <c r="D13" s="70">
        <v>4204</v>
      </c>
      <c r="E13" s="71">
        <v>7136</v>
      </c>
      <c r="F13" s="72">
        <v>11340</v>
      </c>
      <c r="G13" s="70">
        <v>1134</v>
      </c>
      <c r="H13" s="71">
        <v>1134</v>
      </c>
      <c r="I13" s="72">
        <v>2268</v>
      </c>
      <c r="J13" s="11">
        <f t="shared" si="0"/>
        <v>126000</v>
      </c>
    </row>
    <row r="14" spans="1:13" s="9" customFormat="1" ht="20.25" customHeight="1" x14ac:dyDescent="0.15">
      <c r="A14" s="143">
        <v>10</v>
      </c>
      <c r="B14" s="144"/>
      <c r="C14" s="73">
        <v>134000</v>
      </c>
      <c r="D14" s="70">
        <v>4471</v>
      </c>
      <c r="E14" s="71">
        <v>7589</v>
      </c>
      <c r="F14" s="72">
        <v>12060</v>
      </c>
      <c r="G14" s="70">
        <v>1206</v>
      </c>
      <c r="H14" s="71">
        <v>1206</v>
      </c>
      <c r="I14" s="72">
        <v>2412</v>
      </c>
      <c r="J14" s="11">
        <f t="shared" si="0"/>
        <v>134000</v>
      </c>
    </row>
    <row r="15" spans="1:13" s="9" customFormat="1" ht="20.25" customHeight="1" x14ac:dyDescent="0.15">
      <c r="A15" s="143">
        <v>11</v>
      </c>
      <c r="B15" s="144"/>
      <c r="C15" s="73">
        <v>142000</v>
      </c>
      <c r="D15" s="70">
        <v>4738</v>
      </c>
      <c r="E15" s="71">
        <v>8042</v>
      </c>
      <c r="F15" s="72">
        <v>12780</v>
      </c>
      <c r="G15" s="70">
        <v>1278</v>
      </c>
      <c r="H15" s="71">
        <v>1278</v>
      </c>
      <c r="I15" s="72">
        <v>2556</v>
      </c>
      <c r="J15" s="11">
        <f t="shared" si="0"/>
        <v>142000</v>
      </c>
    </row>
    <row r="16" spans="1:13" s="9" customFormat="1" ht="20.25" customHeight="1" x14ac:dyDescent="0.15">
      <c r="A16" s="143">
        <v>12</v>
      </c>
      <c r="B16" s="144"/>
      <c r="C16" s="73">
        <v>150000</v>
      </c>
      <c r="D16" s="70">
        <v>5005</v>
      </c>
      <c r="E16" s="71">
        <v>8495</v>
      </c>
      <c r="F16" s="72">
        <v>13500</v>
      </c>
      <c r="G16" s="70">
        <v>1350</v>
      </c>
      <c r="H16" s="71">
        <v>1350</v>
      </c>
      <c r="I16" s="72">
        <v>2700</v>
      </c>
      <c r="J16" s="11">
        <f t="shared" si="0"/>
        <v>150000</v>
      </c>
    </row>
    <row r="17" spans="1:10" s="9" customFormat="1" ht="20.25" customHeight="1" x14ac:dyDescent="0.15">
      <c r="A17" s="143">
        <v>13</v>
      </c>
      <c r="B17" s="144"/>
      <c r="C17" s="73">
        <v>160000</v>
      </c>
      <c r="D17" s="70">
        <v>5339</v>
      </c>
      <c r="E17" s="71">
        <v>9061</v>
      </c>
      <c r="F17" s="72">
        <v>14400</v>
      </c>
      <c r="G17" s="70">
        <v>1440</v>
      </c>
      <c r="H17" s="71">
        <v>1440</v>
      </c>
      <c r="I17" s="72">
        <v>2880</v>
      </c>
      <c r="J17" s="11">
        <f t="shared" si="0"/>
        <v>160000</v>
      </c>
    </row>
    <row r="18" spans="1:10" s="9" customFormat="1" ht="20.25" customHeight="1" x14ac:dyDescent="0.15">
      <c r="A18" s="143">
        <v>14</v>
      </c>
      <c r="B18" s="144"/>
      <c r="C18" s="73">
        <v>170000</v>
      </c>
      <c r="D18" s="70">
        <v>5672</v>
      </c>
      <c r="E18" s="71">
        <v>9628</v>
      </c>
      <c r="F18" s="72">
        <v>15300</v>
      </c>
      <c r="G18" s="70">
        <v>1530</v>
      </c>
      <c r="H18" s="71">
        <v>1530</v>
      </c>
      <c r="I18" s="72">
        <v>3060</v>
      </c>
      <c r="J18" s="11">
        <f t="shared" si="0"/>
        <v>170000</v>
      </c>
    </row>
    <row r="19" spans="1:10" s="9" customFormat="1" ht="20.25" customHeight="1" x14ac:dyDescent="0.15">
      <c r="A19" s="143">
        <v>15</v>
      </c>
      <c r="B19" s="144"/>
      <c r="C19" s="73">
        <v>180000</v>
      </c>
      <c r="D19" s="70">
        <v>6006</v>
      </c>
      <c r="E19" s="71">
        <v>10194</v>
      </c>
      <c r="F19" s="72">
        <v>16200</v>
      </c>
      <c r="G19" s="70">
        <v>1620</v>
      </c>
      <c r="H19" s="71">
        <v>1620</v>
      </c>
      <c r="I19" s="72">
        <v>3240</v>
      </c>
      <c r="J19" s="11">
        <f t="shared" si="0"/>
        <v>180000</v>
      </c>
    </row>
    <row r="20" spans="1:10" s="9" customFormat="1" ht="20.25" customHeight="1" x14ac:dyDescent="0.15">
      <c r="A20" s="143">
        <v>16</v>
      </c>
      <c r="B20" s="144"/>
      <c r="C20" s="73">
        <v>190000</v>
      </c>
      <c r="D20" s="70">
        <v>6340</v>
      </c>
      <c r="E20" s="71">
        <v>10760</v>
      </c>
      <c r="F20" s="72">
        <v>17100</v>
      </c>
      <c r="G20" s="70">
        <v>1710</v>
      </c>
      <c r="H20" s="71">
        <v>1710</v>
      </c>
      <c r="I20" s="72">
        <v>3420</v>
      </c>
      <c r="J20" s="11">
        <f t="shared" si="0"/>
        <v>190000</v>
      </c>
    </row>
    <row r="21" spans="1:10" s="9" customFormat="1" ht="20.25" customHeight="1" x14ac:dyDescent="0.15">
      <c r="A21" s="143">
        <v>17</v>
      </c>
      <c r="B21" s="144"/>
      <c r="C21" s="73">
        <v>200000</v>
      </c>
      <c r="D21" s="70">
        <v>6674</v>
      </c>
      <c r="E21" s="71">
        <v>11326</v>
      </c>
      <c r="F21" s="72">
        <v>18000</v>
      </c>
      <c r="G21" s="70">
        <v>1800</v>
      </c>
      <c r="H21" s="71">
        <v>1800</v>
      </c>
      <c r="I21" s="72">
        <v>3600</v>
      </c>
      <c r="J21" s="11">
        <f t="shared" si="0"/>
        <v>200000</v>
      </c>
    </row>
    <row r="22" spans="1:10" s="9" customFormat="1" ht="20.25" customHeight="1" x14ac:dyDescent="0.15">
      <c r="A22" s="143">
        <v>18</v>
      </c>
      <c r="B22" s="144"/>
      <c r="C22" s="73">
        <v>220000</v>
      </c>
      <c r="D22" s="70">
        <v>7341</v>
      </c>
      <c r="E22" s="71">
        <v>12459</v>
      </c>
      <c r="F22" s="72">
        <v>19800</v>
      </c>
      <c r="G22" s="70">
        <v>1980</v>
      </c>
      <c r="H22" s="71">
        <v>1980</v>
      </c>
      <c r="I22" s="72">
        <v>3960</v>
      </c>
      <c r="J22" s="11">
        <f t="shared" si="0"/>
        <v>220000</v>
      </c>
    </row>
    <row r="23" spans="1:10" s="9" customFormat="1" ht="20.25" customHeight="1" x14ac:dyDescent="0.15">
      <c r="A23" s="143">
        <v>19</v>
      </c>
      <c r="B23" s="144"/>
      <c r="C23" s="73">
        <v>240000</v>
      </c>
      <c r="D23" s="70">
        <v>8008</v>
      </c>
      <c r="E23" s="71">
        <v>13592</v>
      </c>
      <c r="F23" s="72">
        <v>21600</v>
      </c>
      <c r="G23" s="70">
        <v>2160</v>
      </c>
      <c r="H23" s="71">
        <v>2160</v>
      </c>
      <c r="I23" s="72">
        <v>4320</v>
      </c>
      <c r="J23" s="11">
        <f t="shared" si="0"/>
        <v>240000</v>
      </c>
    </row>
    <row r="24" spans="1:10" s="9" customFormat="1" ht="20.25" customHeight="1" x14ac:dyDescent="0.15">
      <c r="A24" s="143">
        <v>20</v>
      </c>
      <c r="B24" s="144"/>
      <c r="C24" s="73">
        <v>260000</v>
      </c>
      <c r="D24" s="70">
        <v>8676</v>
      </c>
      <c r="E24" s="71">
        <v>14724</v>
      </c>
      <c r="F24" s="72">
        <v>23400</v>
      </c>
      <c r="G24" s="70">
        <v>2340</v>
      </c>
      <c r="H24" s="71">
        <v>2340</v>
      </c>
      <c r="I24" s="72">
        <v>4680</v>
      </c>
      <c r="J24" s="11">
        <f t="shared" si="0"/>
        <v>260000</v>
      </c>
    </row>
    <row r="25" spans="1:10" s="9" customFormat="1" ht="20.25" customHeight="1" x14ac:dyDescent="0.15">
      <c r="A25" s="143">
        <v>21</v>
      </c>
      <c r="B25" s="144"/>
      <c r="C25" s="73">
        <v>280000</v>
      </c>
      <c r="D25" s="70">
        <v>9343</v>
      </c>
      <c r="E25" s="71">
        <v>15857</v>
      </c>
      <c r="F25" s="72">
        <v>25200</v>
      </c>
      <c r="G25" s="70">
        <v>2520</v>
      </c>
      <c r="H25" s="71">
        <v>2520</v>
      </c>
      <c r="I25" s="72">
        <v>5040</v>
      </c>
      <c r="J25" s="11">
        <f t="shared" si="0"/>
        <v>280000</v>
      </c>
    </row>
    <row r="26" spans="1:10" s="9" customFormat="1" ht="20.25" customHeight="1" x14ac:dyDescent="0.15">
      <c r="A26" s="143">
        <v>22</v>
      </c>
      <c r="B26" s="144"/>
      <c r="C26" s="73">
        <v>300000</v>
      </c>
      <c r="D26" s="70">
        <v>10011</v>
      </c>
      <c r="E26" s="71">
        <v>16989</v>
      </c>
      <c r="F26" s="72">
        <v>27000</v>
      </c>
      <c r="G26" s="70">
        <v>2700</v>
      </c>
      <c r="H26" s="71">
        <v>2700</v>
      </c>
      <c r="I26" s="72">
        <v>5400</v>
      </c>
      <c r="J26" s="11">
        <f t="shared" si="0"/>
        <v>300000</v>
      </c>
    </row>
    <row r="27" spans="1:10" s="9" customFormat="1" ht="20.25" customHeight="1" x14ac:dyDescent="0.15">
      <c r="A27" s="143">
        <v>23</v>
      </c>
      <c r="B27" s="144"/>
      <c r="C27" s="73">
        <v>320000</v>
      </c>
      <c r="D27" s="70">
        <v>10678</v>
      </c>
      <c r="E27" s="71">
        <v>18122</v>
      </c>
      <c r="F27" s="72">
        <v>28800</v>
      </c>
      <c r="G27" s="70">
        <v>2880</v>
      </c>
      <c r="H27" s="71">
        <v>2880</v>
      </c>
      <c r="I27" s="72">
        <v>5760</v>
      </c>
      <c r="J27" s="11">
        <f t="shared" si="0"/>
        <v>320000</v>
      </c>
    </row>
    <row r="28" spans="1:10" s="9" customFormat="1" ht="20.25" customHeight="1" x14ac:dyDescent="0.15">
      <c r="A28" s="143">
        <v>24</v>
      </c>
      <c r="B28" s="144"/>
      <c r="C28" s="73">
        <v>340000</v>
      </c>
      <c r="D28" s="70">
        <v>11345</v>
      </c>
      <c r="E28" s="71">
        <v>19255</v>
      </c>
      <c r="F28" s="72">
        <v>30600</v>
      </c>
      <c r="G28" s="70">
        <v>3060</v>
      </c>
      <c r="H28" s="71">
        <v>3060</v>
      </c>
      <c r="I28" s="72">
        <v>6120</v>
      </c>
      <c r="J28" s="11">
        <f t="shared" si="0"/>
        <v>340000</v>
      </c>
    </row>
    <row r="29" spans="1:10" s="9" customFormat="1" ht="20.25" customHeight="1" x14ac:dyDescent="0.15">
      <c r="A29" s="143">
        <v>25</v>
      </c>
      <c r="B29" s="144"/>
      <c r="C29" s="73">
        <v>360000</v>
      </c>
      <c r="D29" s="70">
        <v>12013</v>
      </c>
      <c r="E29" s="71">
        <v>20387</v>
      </c>
      <c r="F29" s="72">
        <v>32400</v>
      </c>
      <c r="G29" s="70">
        <v>3240</v>
      </c>
      <c r="H29" s="71">
        <v>3240</v>
      </c>
      <c r="I29" s="72">
        <v>6480</v>
      </c>
      <c r="J29" s="11">
        <f t="shared" si="0"/>
        <v>360000</v>
      </c>
    </row>
    <row r="30" spans="1:10" s="9" customFormat="1" ht="20.25" customHeight="1" x14ac:dyDescent="0.15">
      <c r="A30" s="143">
        <v>26</v>
      </c>
      <c r="B30" s="144"/>
      <c r="C30" s="73">
        <v>380000</v>
      </c>
      <c r="D30" s="70">
        <v>12680</v>
      </c>
      <c r="E30" s="71">
        <v>21520</v>
      </c>
      <c r="F30" s="72">
        <v>34200</v>
      </c>
      <c r="G30" s="70">
        <v>3420</v>
      </c>
      <c r="H30" s="71">
        <v>3420</v>
      </c>
      <c r="I30" s="72">
        <v>6840</v>
      </c>
      <c r="J30" s="11">
        <f t="shared" si="0"/>
        <v>380000</v>
      </c>
    </row>
    <row r="31" spans="1:10" s="9" customFormat="1" ht="20.25" customHeight="1" x14ac:dyDescent="0.15">
      <c r="A31" s="143">
        <v>27</v>
      </c>
      <c r="B31" s="144"/>
      <c r="C31" s="73">
        <v>410000</v>
      </c>
      <c r="D31" s="70">
        <v>13681</v>
      </c>
      <c r="E31" s="71">
        <v>23219</v>
      </c>
      <c r="F31" s="72">
        <v>36900</v>
      </c>
      <c r="G31" s="70">
        <v>3690</v>
      </c>
      <c r="H31" s="71">
        <v>3690</v>
      </c>
      <c r="I31" s="72">
        <v>7380</v>
      </c>
      <c r="J31" s="11">
        <f t="shared" si="0"/>
        <v>410000</v>
      </c>
    </row>
    <row r="32" spans="1:10" s="9" customFormat="1" ht="20.25" customHeight="1" x14ac:dyDescent="0.15">
      <c r="A32" s="143">
        <v>28</v>
      </c>
      <c r="B32" s="144"/>
      <c r="C32" s="73">
        <v>440000</v>
      </c>
      <c r="D32" s="70">
        <v>14682</v>
      </c>
      <c r="E32" s="71">
        <v>24918</v>
      </c>
      <c r="F32" s="72">
        <v>39600</v>
      </c>
      <c r="G32" s="70">
        <v>3960</v>
      </c>
      <c r="H32" s="71">
        <v>3960</v>
      </c>
      <c r="I32" s="72">
        <v>7920</v>
      </c>
      <c r="J32" s="11">
        <f t="shared" si="0"/>
        <v>440000</v>
      </c>
    </row>
    <row r="33" spans="1:10" s="9" customFormat="1" ht="20.25" customHeight="1" x14ac:dyDescent="0.15">
      <c r="A33" s="143">
        <v>29</v>
      </c>
      <c r="B33" s="144"/>
      <c r="C33" s="73">
        <v>470000</v>
      </c>
      <c r="D33" s="70">
        <v>15683</v>
      </c>
      <c r="E33" s="71">
        <v>26617</v>
      </c>
      <c r="F33" s="72">
        <v>42300</v>
      </c>
      <c r="G33" s="70">
        <v>4230</v>
      </c>
      <c r="H33" s="71">
        <v>4230</v>
      </c>
      <c r="I33" s="72">
        <v>8460</v>
      </c>
      <c r="J33" s="11">
        <f t="shared" si="0"/>
        <v>470000</v>
      </c>
    </row>
    <row r="34" spans="1:10" s="9" customFormat="1" ht="20.25" customHeight="1" x14ac:dyDescent="0.15">
      <c r="A34" s="143">
        <v>30</v>
      </c>
      <c r="B34" s="144"/>
      <c r="C34" s="73">
        <v>500000</v>
      </c>
      <c r="D34" s="70">
        <v>16685</v>
      </c>
      <c r="E34" s="71">
        <v>28315</v>
      </c>
      <c r="F34" s="72">
        <v>45000</v>
      </c>
      <c r="G34" s="70">
        <v>4500</v>
      </c>
      <c r="H34" s="71">
        <v>4500</v>
      </c>
      <c r="I34" s="72">
        <v>9000</v>
      </c>
      <c r="J34" s="11">
        <f t="shared" si="0"/>
        <v>500000</v>
      </c>
    </row>
    <row r="35" spans="1:10" s="9" customFormat="1" ht="20.25" customHeight="1" x14ac:dyDescent="0.15">
      <c r="A35" s="143">
        <v>31</v>
      </c>
      <c r="B35" s="144"/>
      <c r="C35" s="73">
        <v>530000</v>
      </c>
      <c r="D35" s="70">
        <v>17686</v>
      </c>
      <c r="E35" s="71">
        <v>30014</v>
      </c>
      <c r="F35" s="72">
        <v>47700</v>
      </c>
      <c r="G35" s="70">
        <v>4770</v>
      </c>
      <c r="H35" s="71">
        <v>4770</v>
      </c>
      <c r="I35" s="72">
        <v>9540</v>
      </c>
      <c r="J35" s="11">
        <f t="shared" si="0"/>
        <v>530000</v>
      </c>
    </row>
    <row r="36" spans="1:10" s="9" customFormat="1" ht="20.25" customHeight="1" x14ac:dyDescent="0.15">
      <c r="A36" s="143">
        <v>32</v>
      </c>
      <c r="B36" s="144"/>
      <c r="C36" s="73">
        <v>560000</v>
      </c>
      <c r="D36" s="70">
        <v>18687</v>
      </c>
      <c r="E36" s="71">
        <v>31713</v>
      </c>
      <c r="F36" s="72">
        <v>50400</v>
      </c>
      <c r="G36" s="70">
        <v>5040</v>
      </c>
      <c r="H36" s="71">
        <v>5040</v>
      </c>
      <c r="I36" s="72">
        <v>10080</v>
      </c>
      <c r="J36" s="11">
        <f t="shared" si="0"/>
        <v>560000</v>
      </c>
    </row>
    <row r="37" spans="1:10" s="9" customFormat="1" ht="20.25" customHeight="1" x14ac:dyDescent="0.15">
      <c r="A37" s="143">
        <v>33</v>
      </c>
      <c r="B37" s="144"/>
      <c r="C37" s="73">
        <v>590000</v>
      </c>
      <c r="D37" s="70">
        <v>19688</v>
      </c>
      <c r="E37" s="71">
        <v>33412</v>
      </c>
      <c r="F37" s="72">
        <v>53100</v>
      </c>
      <c r="G37" s="70">
        <v>5310</v>
      </c>
      <c r="H37" s="71">
        <v>5310</v>
      </c>
      <c r="I37" s="72">
        <v>10620</v>
      </c>
      <c r="J37" s="11">
        <f t="shared" si="0"/>
        <v>590000</v>
      </c>
    </row>
    <row r="38" spans="1:10" s="9" customFormat="1" ht="20.25" customHeight="1" x14ac:dyDescent="0.15">
      <c r="A38" s="143">
        <v>34</v>
      </c>
      <c r="B38" s="144"/>
      <c r="C38" s="73">
        <v>620000</v>
      </c>
      <c r="D38" s="70">
        <v>20689</v>
      </c>
      <c r="E38" s="71">
        <v>35111</v>
      </c>
      <c r="F38" s="72">
        <v>55800</v>
      </c>
      <c r="G38" s="70">
        <v>5580</v>
      </c>
      <c r="H38" s="71">
        <v>5580</v>
      </c>
      <c r="I38" s="72">
        <v>11160</v>
      </c>
      <c r="J38" s="11">
        <f t="shared" si="0"/>
        <v>620000</v>
      </c>
    </row>
    <row r="39" spans="1:10" s="9" customFormat="1" ht="20.25" customHeight="1" x14ac:dyDescent="0.15">
      <c r="A39" s="143">
        <v>35</v>
      </c>
      <c r="B39" s="144"/>
      <c r="C39" s="73">
        <v>650000</v>
      </c>
      <c r="D39" s="70">
        <v>21690</v>
      </c>
      <c r="E39" s="71">
        <v>36810</v>
      </c>
      <c r="F39" s="72">
        <v>58500</v>
      </c>
      <c r="G39" s="70">
        <v>5850</v>
      </c>
      <c r="H39" s="71">
        <v>5850</v>
      </c>
      <c r="I39" s="72">
        <v>11700</v>
      </c>
      <c r="J39" s="11">
        <f t="shared" si="0"/>
        <v>650000</v>
      </c>
    </row>
    <row r="40" spans="1:10" s="9" customFormat="1" ht="20.25" customHeight="1" x14ac:dyDescent="0.15">
      <c r="A40" s="143">
        <v>36</v>
      </c>
      <c r="B40" s="144"/>
      <c r="C40" s="73">
        <v>680000</v>
      </c>
      <c r="D40" s="70">
        <v>22691</v>
      </c>
      <c r="E40" s="71">
        <v>38509</v>
      </c>
      <c r="F40" s="72">
        <v>61200</v>
      </c>
      <c r="G40" s="70">
        <v>6120</v>
      </c>
      <c r="H40" s="71">
        <v>6120</v>
      </c>
      <c r="I40" s="72">
        <v>12240</v>
      </c>
      <c r="J40" s="11">
        <f t="shared" si="0"/>
        <v>680000</v>
      </c>
    </row>
    <row r="41" spans="1:10" s="9" customFormat="1" ht="20.25" customHeight="1" x14ac:dyDescent="0.15">
      <c r="A41" s="143">
        <v>37</v>
      </c>
      <c r="B41" s="144"/>
      <c r="C41" s="73">
        <v>710000</v>
      </c>
      <c r="D41" s="70">
        <v>23692</v>
      </c>
      <c r="E41" s="71">
        <v>40208</v>
      </c>
      <c r="F41" s="72">
        <v>63900</v>
      </c>
      <c r="G41" s="70">
        <v>6390</v>
      </c>
      <c r="H41" s="71">
        <v>6390</v>
      </c>
      <c r="I41" s="72">
        <v>12780</v>
      </c>
      <c r="J41" s="11">
        <f t="shared" si="0"/>
        <v>710000</v>
      </c>
    </row>
    <row r="42" spans="1:10" s="9" customFormat="1" ht="20.25" customHeight="1" x14ac:dyDescent="0.15">
      <c r="A42" s="143">
        <v>38</v>
      </c>
      <c r="B42" s="144"/>
      <c r="C42" s="73">
        <v>750000</v>
      </c>
      <c r="D42" s="70">
        <v>25027</v>
      </c>
      <c r="E42" s="71">
        <v>42473</v>
      </c>
      <c r="F42" s="72">
        <v>67500</v>
      </c>
      <c r="G42" s="70">
        <v>6750</v>
      </c>
      <c r="H42" s="71">
        <v>6750</v>
      </c>
      <c r="I42" s="72">
        <v>13500</v>
      </c>
      <c r="J42" s="11">
        <f t="shared" si="0"/>
        <v>750000</v>
      </c>
    </row>
    <row r="43" spans="1:10" s="9" customFormat="1" ht="20.25" customHeight="1" x14ac:dyDescent="0.15">
      <c r="A43" s="143">
        <v>39</v>
      </c>
      <c r="B43" s="144"/>
      <c r="C43" s="73">
        <v>790000</v>
      </c>
      <c r="D43" s="70">
        <v>26362</v>
      </c>
      <c r="E43" s="71">
        <v>44738</v>
      </c>
      <c r="F43" s="72">
        <v>71100</v>
      </c>
      <c r="G43" s="70">
        <v>7110</v>
      </c>
      <c r="H43" s="71">
        <v>7110</v>
      </c>
      <c r="I43" s="72">
        <v>14220</v>
      </c>
      <c r="J43" s="11">
        <f t="shared" si="0"/>
        <v>790000</v>
      </c>
    </row>
    <row r="44" spans="1:10" s="9" customFormat="1" ht="20.25" customHeight="1" x14ac:dyDescent="0.15">
      <c r="A44" s="143">
        <v>40</v>
      </c>
      <c r="B44" s="144"/>
      <c r="C44" s="73">
        <v>830000</v>
      </c>
      <c r="D44" s="70">
        <v>27697</v>
      </c>
      <c r="E44" s="71">
        <v>47003</v>
      </c>
      <c r="F44" s="72">
        <v>74700</v>
      </c>
      <c r="G44" s="70">
        <v>7470</v>
      </c>
      <c r="H44" s="71">
        <v>7470</v>
      </c>
      <c r="I44" s="72">
        <v>14940</v>
      </c>
      <c r="J44" s="11">
        <f t="shared" si="0"/>
        <v>830000</v>
      </c>
    </row>
    <row r="45" spans="1:10" s="9" customFormat="1" ht="20.25" customHeight="1" x14ac:dyDescent="0.15">
      <c r="A45" s="143">
        <v>41</v>
      </c>
      <c r="B45" s="144"/>
      <c r="C45" s="73">
        <v>880000</v>
      </c>
      <c r="D45" s="70">
        <v>29365</v>
      </c>
      <c r="E45" s="71">
        <v>49835</v>
      </c>
      <c r="F45" s="72">
        <v>79200</v>
      </c>
      <c r="G45" s="70">
        <v>7920</v>
      </c>
      <c r="H45" s="71">
        <v>7920</v>
      </c>
      <c r="I45" s="72">
        <v>15840</v>
      </c>
      <c r="J45" s="11">
        <f t="shared" si="0"/>
        <v>880000</v>
      </c>
    </row>
    <row r="46" spans="1:10" s="9" customFormat="1" ht="20.25" customHeight="1" x14ac:dyDescent="0.15">
      <c r="A46" s="143">
        <v>42</v>
      </c>
      <c r="B46" s="144"/>
      <c r="C46" s="73">
        <v>930000</v>
      </c>
      <c r="D46" s="70">
        <v>31034</v>
      </c>
      <c r="E46" s="71">
        <v>52666</v>
      </c>
      <c r="F46" s="72">
        <v>83700</v>
      </c>
      <c r="G46" s="70">
        <v>8370</v>
      </c>
      <c r="H46" s="71">
        <v>8370</v>
      </c>
      <c r="I46" s="72">
        <v>16740</v>
      </c>
      <c r="J46" s="11">
        <f t="shared" si="0"/>
        <v>930000</v>
      </c>
    </row>
    <row r="47" spans="1:10" s="9" customFormat="1" ht="20.25" customHeight="1" x14ac:dyDescent="0.15">
      <c r="A47" s="143">
        <v>43</v>
      </c>
      <c r="B47" s="144"/>
      <c r="C47" s="74">
        <v>980000</v>
      </c>
      <c r="D47" s="70">
        <v>32702</v>
      </c>
      <c r="E47" s="71">
        <v>55498</v>
      </c>
      <c r="F47" s="72">
        <v>88200</v>
      </c>
      <c r="G47" s="70">
        <v>8820</v>
      </c>
      <c r="H47" s="71">
        <v>8820</v>
      </c>
      <c r="I47" s="72">
        <v>17640</v>
      </c>
      <c r="J47" s="12">
        <f t="shared" si="0"/>
        <v>980000</v>
      </c>
    </row>
    <row r="48" spans="1:10" s="9" customFormat="1" ht="20.25" customHeight="1" x14ac:dyDescent="0.15">
      <c r="A48" s="143">
        <v>44</v>
      </c>
      <c r="B48" s="144"/>
      <c r="C48" s="73">
        <v>1030000</v>
      </c>
      <c r="D48" s="70">
        <v>34371</v>
      </c>
      <c r="E48" s="71">
        <v>58329</v>
      </c>
      <c r="F48" s="72">
        <v>92700</v>
      </c>
      <c r="G48" s="70">
        <v>9270</v>
      </c>
      <c r="H48" s="71">
        <v>9270</v>
      </c>
      <c r="I48" s="72">
        <v>18540</v>
      </c>
      <c r="J48" s="11">
        <f t="shared" si="0"/>
        <v>1030000</v>
      </c>
    </row>
    <row r="49" spans="1:10" s="9" customFormat="1" ht="20.25" customHeight="1" x14ac:dyDescent="0.15">
      <c r="A49" s="143">
        <v>45</v>
      </c>
      <c r="B49" s="144"/>
      <c r="C49" s="73">
        <v>1090000</v>
      </c>
      <c r="D49" s="70">
        <v>36373</v>
      </c>
      <c r="E49" s="71">
        <v>61727</v>
      </c>
      <c r="F49" s="72">
        <v>98100</v>
      </c>
      <c r="G49" s="70">
        <v>9810</v>
      </c>
      <c r="H49" s="71">
        <v>9810</v>
      </c>
      <c r="I49" s="72">
        <v>19620</v>
      </c>
      <c r="J49" s="11">
        <f t="shared" si="0"/>
        <v>1090000</v>
      </c>
    </row>
    <row r="50" spans="1:10" s="9" customFormat="1" ht="20.25" customHeight="1" x14ac:dyDescent="0.15">
      <c r="A50" s="143">
        <v>46</v>
      </c>
      <c r="B50" s="144"/>
      <c r="C50" s="73">
        <v>1150000</v>
      </c>
      <c r="D50" s="70">
        <v>38375</v>
      </c>
      <c r="E50" s="71">
        <v>65125</v>
      </c>
      <c r="F50" s="72">
        <v>103500</v>
      </c>
      <c r="G50" s="70">
        <v>10350</v>
      </c>
      <c r="H50" s="71">
        <v>10350</v>
      </c>
      <c r="I50" s="72">
        <v>20700</v>
      </c>
      <c r="J50" s="11">
        <f t="shared" si="0"/>
        <v>1150000</v>
      </c>
    </row>
    <row r="51" spans="1:10" s="9" customFormat="1" ht="20.25" customHeight="1" x14ac:dyDescent="0.15">
      <c r="A51" s="143">
        <v>47</v>
      </c>
      <c r="B51" s="144"/>
      <c r="C51" s="74">
        <v>1210000</v>
      </c>
      <c r="D51" s="75">
        <v>40377</v>
      </c>
      <c r="E51" s="76">
        <v>68523</v>
      </c>
      <c r="F51" s="77">
        <v>108900</v>
      </c>
      <c r="G51" s="75">
        <v>10890</v>
      </c>
      <c r="H51" s="76">
        <v>10890</v>
      </c>
      <c r="I51" s="77">
        <v>21780</v>
      </c>
      <c r="J51" s="12">
        <f t="shared" si="0"/>
        <v>1210000</v>
      </c>
    </row>
    <row r="52" spans="1:10" s="9" customFormat="1" ht="20.25" customHeight="1" x14ac:dyDescent="0.15">
      <c r="A52" s="143">
        <v>48</v>
      </c>
      <c r="B52" s="144"/>
      <c r="C52" s="73">
        <v>1270000</v>
      </c>
      <c r="D52" s="75">
        <v>42379</v>
      </c>
      <c r="E52" s="76">
        <v>71921</v>
      </c>
      <c r="F52" s="77">
        <v>114300</v>
      </c>
      <c r="G52" s="75">
        <v>11430</v>
      </c>
      <c r="H52" s="76">
        <v>11430</v>
      </c>
      <c r="I52" s="77">
        <v>22860</v>
      </c>
      <c r="J52" s="11">
        <f t="shared" si="0"/>
        <v>1270000</v>
      </c>
    </row>
    <row r="53" spans="1:10" s="9" customFormat="1" ht="20.25" customHeight="1" x14ac:dyDescent="0.15">
      <c r="A53" s="143">
        <v>49</v>
      </c>
      <c r="B53" s="144"/>
      <c r="C53" s="73">
        <v>1330000</v>
      </c>
      <c r="D53" s="75">
        <v>44382</v>
      </c>
      <c r="E53" s="76">
        <v>75318</v>
      </c>
      <c r="F53" s="77">
        <v>119700</v>
      </c>
      <c r="G53" s="75">
        <v>11970</v>
      </c>
      <c r="H53" s="76">
        <v>11970</v>
      </c>
      <c r="I53" s="77">
        <v>23940</v>
      </c>
      <c r="J53" s="11">
        <f t="shared" si="0"/>
        <v>1330000</v>
      </c>
    </row>
    <row r="54" spans="1:10" s="9" customFormat="1" ht="20.25" customHeight="1" thickBot="1" x14ac:dyDescent="0.2">
      <c r="A54" s="147">
        <v>50</v>
      </c>
      <c r="B54" s="148"/>
      <c r="C54" s="78">
        <v>1390000</v>
      </c>
      <c r="D54" s="79">
        <v>46384</v>
      </c>
      <c r="E54" s="80">
        <v>78716</v>
      </c>
      <c r="F54" s="81">
        <v>125100</v>
      </c>
      <c r="G54" s="79">
        <v>12510</v>
      </c>
      <c r="H54" s="80">
        <v>12510</v>
      </c>
      <c r="I54" s="81">
        <v>25020</v>
      </c>
      <c r="J54" s="13">
        <f t="shared" si="0"/>
        <v>1390000</v>
      </c>
    </row>
  </sheetData>
  <mergeCells count="56">
    <mergeCell ref="E1:F1"/>
    <mergeCell ref="G3:I3"/>
    <mergeCell ref="C3:C4"/>
    <mergeCell ref="A52:B52"/>
    <mergeCell ref="A53:B53"/>
    <mergeCell ref="A25:B25"/>
    <mergeCell ref="A26:B26"/>
    <mergeCell ref="A17:B17"/>
    <mergeCell ref="A18:B18"/>
    <mergeCell ref="A19:B19"/>
    <mergeCell ref="A20:B20"/>
    <mergeCell ref="A21:B21"/>
    <mergeCell ref="A12:B12"/>
    <mergeCell ref="A13:B13"/>
    <mergeCell ref="A14:B14"/>
    <mergeCell ref="A15:B15"/>
    <mergeCell ref="A54:B54"/>
    <mergeCell ref="D3:F3"/>
    <mergeCell ref="A3:B4"/>
    <mergeCell ref="A51:B51"/>
    <mergeCell ref="A33:B33"/>
    <mergeCell ref="A34:B34"/>
    <mergeCell ref="A35:B35"/>
    <mergeCell ref="A36:B36"/>
    <mergeCell ref="A27:B27"/>
    <mergeCell ref="A28:B28"/>
    <mergeCell ref="A29:B29"/>
    <mergeCell ref="A30:B30"/>
    <mergeCell ref="A31:B31"/>
    <mergeCell ref="A22:B22"/>
    <mergeCell ref="A23:B23"/>
    <mergeCell ref="A24:B24"/>
    <mergeCell ref="J3:J4"/>
    <mergeCell ref="A47:B47"/>
    <mergeCell ref="A48:B48"/>
    <mergeCell ref="A49:B49"/>
    <mergeCell ref="A50:B50"/>
    <mergeCell ref="A42:B42"/>
    <mergeCell ref="A43:B43"/>
    <mergeCell ref="A44:B44"/>
    <mergeCell ref="A45:B45"/>
    <mergeCell ref="A46:B46"/>
    <mergeCell ref="A37:B37"/>
    <mergeCell ref="A38:B38"/>
    <mergeCell ref="A39:B39"/>
    <mergeCell ref="A40:B40"/>
    <mergeCell ref="A41:B41"/>
    <mergeCell ref="A32:B32"/>
    <mergeCell ref="A16:B16"/>
    <mergeCell ref="A10:B10"/>
    <mergeCell ref="A11:B11"/>
    <mergeCell ref="A5:B5"/>
    <mergeCell ref="A6:B6"/>
    <mergeCell ref="A7:B7"/>
    <mergeCell ref="A8:B8"/>
    <mergeCell ref="A9:B9"/>
  </mergeCells>
  <phoneticPr fontId="2"/>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72A7-896A-4E17-9C26-664C1999D446}">
  <dimension ref="A1:D22"/>
  <sheetViews>
    <sheetView workbookViewId="0">
      <selection activeCell="D22" sqref="D22"/>
    </sheetView>
  </sheetViews>
  <sheetFormatPr defaultRowHeight="17.25" customHeight="1" x14ac:dyDescent="0.15"/>
  <cols>
    <col min="1" max="1" width="4.125" style="94" customWidth="1"/>
  </cols>
  <sheetData>
    <row r="1" spans="1:2" ht="17.25" customHeight="1" x14ac:dyDescent="0.15">
      <c r="A1" s="95" t="s">
        <v>53</v>
      </c>
    </row>
    <row r="3" spans="1:2" ht="17.25" customHeight="1" x14ac:dyDescent="0.15">
      <c r="A3" s="3" t="s">
        <v>54</v>
      </c>
      <c r="B3" s="8" t="s">
        <v>66</v>
      </c>
    </row>
    <row r="4" spans="1:2" ht="17.25" customHeight="1" x14ac:dyDescent="0.15">
      <c r="A4" s="3"/>
      <c r="B4" s="8" t="s">
        <v>67</v>
      </c>
    </row>
    <row r="6" spans="1:2" ht="17.25" customHeight="1" x14ac:dyDescent="0.15">
      <c r="A6" s="3" t="s">
        <v>57</v>
      </c>
      <c r="B6" s="8" t="s">
        <v>55</v>
      </c>
    </row>
    <row r="7" spans="1:2" ht="17.25" customHeight="1" x14ac:dyDescent="0.15">
      <c r="B7" s="8" t="s">
        <v>56</v>
      </c>
    </row>
    <row r="9" spans="1:2" ht="17.25" customHeight="1" x14ac:dyDescent="0.15">
      <c r="A9" s="3" t="s">
        <v>60</v>
      </c>
      <c r="B9" s="8" t="s">
        <v>58</v>
      </c>
    </row>
    <row r="10" spans="1:2" ht="17.25" customHeight="1" x14ac:dyDescent="0.15">
      <c r="B10" s="8" t="s">
        <v>59</v>
      </c>
    </row>
    <row r="12" spans="1:2" ht="17.25" customHeight="1" x14ac:dyDescent="0.15">
      <c r="A12" s="3" t="s">
        <v>62</v>
      </c>
      <c r="B12" s="8" t="s">
        <v>61</v>
      </c>
    </row>
    <row r="14" spans="1:2" ht="17.25" customHeight="1" x14ac:dyDescent="0.15">
      <c r="A14" s="3" t="s">
        <v>64</v>
      </c>
      <c r="B14" s="8" t="s">
        <v>63</v>
      </c>
    </row>
    <row r="15" spans="1:2" ht="17.25" customHeight="1" x14ac:dyDescent="0.15">
      <c r="B15" s="8" t="s">
        <v>65</v>
      </c>
    </row>
    <row r="17" spans="1:4" ht="17.25" customHeight="1" x14ac:dyDescent="0.15">
      <c r="A17" s="3" t="s">
        <v>68</v>
      </c>
      <c r="B17" s="8" t="s">
        <v>69</v>
      </c>
    </row>
    <row r="18" spans="1:4" ht="17.25" customHeight="1" x14ac:dyDescent="0.15">
      <c r="B18" s="8" t="s">
        <v>70</v>
      </c>
    </row>
    <row r="20" spans="1:4" ht="17.25" customHeight="1" x14ac:dyDescent="0.15">
      <c r="A20" s="3" t="s">
        <v>71</v>
      </c>
      <c r="B20" s="8" t="s">
        <v>72</v>
      </c>
    </row>
    <row r="22" spans="1:4" ht="17.25" customHeight="1" x14ac:dyDescent="0.15">
      <c r="B22" s="159">
        <v>44788</v>
      </c>
      <c r="C22" s="160"/>
      <c r="D22" s="8" t="s">
        <v>73</v>
      </c>
    </row>
  </sheetData>
  <mergeCells count="1">
    <mergeCell ref="B22:C2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健康保険料</vt:lpstr>
      <vt:lpstr>介護保険料</vt:lpstr>
      <vt:lpstr>料額表</vt:lpstr>
      <vt:lpstr>更新要領</vt:lpstr>
      <vt:lpstr>介護保険料!Print_Area</vt:lpstr>
      <vt:lpstr>健康保険料!Print_Area</vt:lpstr>
      <vt:lpstr>料額表!Print_Area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kenpo3</dc:creator>
  <cp:lastModifiedBy>jpkenp0002@gmail.com</cp:lastModifiedBy>
  <cp:lastPrinted>2025-05-16T04:08:16Z</cp:lastPrinted>
  <dcterms:created xsi:type="dcterms:W3CDTF">2006-12-27T03:21:44Z</dcterms:created>
  <dcterms:modified xsi:type="dcterms:W3CDTF">2025-05-16T04:13:43Z</dcterms:modified>
</cp:coreProperties>
</file>